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amo-fs2\docs_admin$\cupton\My Documents\Barnum Link\FACILITY PLANNING\SMMUSD Info\"/>
    </mc:Choice>
  </mc:AlternateContent>
  <bookViews>
    <workbookView xWindow="0" yWindow="0" windowWidth="28800" windowHeight="12030" activeTab="1"/>
  </bookViews>
  <sheets>
    <sheet name="Summary" sheetId="2" r:id="rId1"/>
    <sheet name="Data" sheetId="1" r:id="rId2"/>
  </sheets>
  <definedNames>
    <definedName name="_xlnm._FilterDatabase" localSheetId="1" hidden="1">Data!$A$1:$Q$266</definedName>
  </definedNames>
  <calcPr calcId="191029"/>
  <pivotCaches>
    <pivotCache cacheId="0" r:id="rId3"/>
  </pivotCaches>
</workbook>
</file>

<file path=xl/calcChain.xml><?xml version="1.0" encoding="utf-8"?>
<calcChain xmlns="http://schemas.openxmlformats.org/spreadsheetml/2006/main">
  <c r="O175" i="1" l="1"/>
  <c r="O176" i="1"/>
  <c r="O177" i="1"/>
  <c r="O178" i="1"/>
  <c r="O179" i="1"/>
  <c r="O180" i="1"/>
  <c r="O181" i="1"/>
  <c r="O182" i="1"/>
  <c r="O183" i="1"/>
  <c r="O184" i="1"/>
  <c r="O185" i="1"/>
  <c r="O186" i="1"/>
  <c r="O108" i="1"/>
  <c r="O109" i="1"/>
  <c r="O110" i="1"/>
  <c r="O111" i="1"/>
  <c r="O112" i="1"/>
  <c r="O113" i="1"/>
  <c r="O11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227" i="1"/>
  <c r="O228" i="1"/>
  <c r="O229" i="1"/>
  <c r="O230" i="1"/>
  <c r="O231" i="1"/>
  <c r="O232" i="1"/>
  <c r="O233" i="1"/>
  <c r="O234" i="1"/>
  <c r="O235" i="1"/>
  <c r="O236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2" i="1"/>
  <c r="O3" i="1"/>
  <c r="O4" i="1"/>
  <c r="O5" i="1"/>
  <c r="O6" i="1"/>
  <c r="O7" i="1"/>
  <c r="O8" i="1"/>
  <c r="O9" i="1"/>
  <c r="O10" i="1"/>
  <c r="O11" i="1"/>
  <c r="O12" i="1"/>
  <c r="O14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8" i="1"/>
  <c r="O217" i="1"/>
  <c r="O203" i="1"/>
  <c r="O148" i="1"/>
  <c r="O150" i="1"/>
  <c r="O149" i="1"/>
  <c r="O151" i="1"/>
  <c r="O200" i="1"/>
  <c r="O201" i="1"/>
  <c r="O202" i="1"/>
  <c r="O15" i="1"/>
  <c r="O16" i="1"/>
  <c r="O172" i="1"/>
  <c r="O173" i="1"/>
  <c r="O219" i="1"/>
  <c r="O220" i="1"/>
  <c r="O221" i="1"/>
  <c r="O222" i="1"/>
  <c r="O223" i="1"/>
  <c r="O224" i="1"/>
  <c r="O225" i="1"/>
  <c r="O226" i="1"/>
  <c r="O135" i="1"/>
  <c r="O138" i="1"/>
  <c r="O141" i="1"/>
  <c r="O137" i="1"/>
  <c r="O139" i="1"/>
  <c r="O140" i="1"/>
  <c r="O143" i="1"/>
  <c r="O142" i="1"/>
  <c r="O144" i="1"/>
  <c r="O145" i="1"/>
  <c r="O146" i="1"/>
  <c r="O147" i="1"/>
  <c r="O136" i="1"/>
  <c r="O13" i="1"/>
  <c r="O174" i="1"/>
  <c r="J171" i="1"/>
  <c r="I171" i="1"/>
  <c r="H171" i="1"/>
  <c r="G171" i="1"/>
  <c r="F171" i="1"/>
  <c r="E171" i="1"/>
  <c r="D171" i="1"/>
  <c r="C171" i="1"/>
  <c r="B171" i="1"/>
  <c r="A171" i="1"/>
  <c r="J203" i="1"/>
  <c r="I203" i="1"/>
  <c r="H203" i="1"/>
  <c r="G203" i="1"/>
  <c r="F203" i="1"/>
  <c r="E203" i="1"/>
  <c r="D203" i="1"/>
  <c r="C203" i="1"/>
  <c r="B203" i="1"/>
  <c r="A203" i="1"/>
  <c r="J13" i="1"/>
  <c r="I13" i="1"/>
  <c r="H13" i="1"/>
  <c r="G13" i="1"/>
  <c r="F13" i="1"/>
  <c r="E13" i="1"/>
  <c r="D13" i="1"/>
  <c r="C13" i="1"/>
  <c r="B13" i="1"/>
  <c r="A13" i="1"/>
  <c r="J218" i="1"/>
  <c r="I218" i="1"/>
  <c r="H218" i="1"/>
  <c r="G218" i="1"/>
  <c r="F218" i="1"/>
  <c r="E218" i="1"/>
  <c r="D218" i="1"/>
  <c r="C218" i="1"/>
  <c r="B218" i="1"/>
  <c r="A218" i="1"/>
  <c r="J136" i="1"/>
  <c r="I136" i="1"/>
  <c r="H136" i="1"/>
  <c r="G136" i="1"/>
  <c r="F136" i="1"/>
  <c r="E136" i="1"/>
  <c r="D136" i="1"/>
  <c r="C136" i="1"/>
  <c r="B136" i="1"/>
  <c r="A136" i="1"/>
  <c r="J65" i="1"/>
  <c r="I65" i="1"/>
  <c r="H65" i="1"/>
  <c r="G65" i="1"/>
  <c r="F65" i="1"/>
  <c r="E65" i="1"/>
  <c r="D65" i="1"/>
  <c r="C65" i="1"/>
  <c r="B65" i="1"/>
  <c r="A65" i="1"/>
  <c r="J170" i="1"/>
  <c r="I170" i="1"/>
  <c r="H170" i="1"/>
  <c r="G170" i="1"/>
  <c r="F170" i="1"/>
  <c r="E170" i="1"/>
  <c r="D170" i="1"/>
  <c r="C170" i="1"/>
  <c r="B170" i="1"/>
  <c r="A170" i="1"/>
  <c r="J217" i="1"/>
  <c r="I217" i="1"/>
  <c r="H217" i="1"/>
  <c r="G217" i="1"/>
  <c r="F217" i="1"/>
  <c r="E217" i="1"/>
  <c r="D217" i="1"/>
  <c r="C217" i="1"/>
  <c r="B217" i="1"/>
  <c r="A217" i="1"/>
  <c r="J266" i="1"/>
  <c r="I266" i="1"/>
  <c r="H266" i="1"/>
  <c r="G266" i="1"/>
  <c r="F266" i="1"/>
  <c r="E266" i="1"/>
  <c r="D266" i="1"/>
  <c r="C266" i="1"/>
  <c r="B266" i="1"/>
  <c r="A266" i="1"/>
  <c r="J265" i="1"/>
  <c r="I265" i="1"/>
  <c r="H265" i="1"/>
  <c r="G265" i="1"/>
  <c r="F265" i="1"/>
  <c r="E265" i="1"/>
  <c r="D265" i="1"/>
  <c r="C265" i="1"/>
  <c r="B265" i="1"/>
  <c r="A265" i="1"/>
  <c r="J89" i="1"/>
  <c r="I89" i="1"/>
  <c r="H89" i="1"/>
  <c r="G89" i="1"/>
  <c r="F89" i="1"/>
  <c r="E89" i="1"/>
  <c r="D89" i="1"/>
  <c r="C89" i="1"/>
  <c r="B89" i="1"/>
  <c r="A89" i="1"/>
  <c r="J147" i="1"/>
  <c r="I147" i="1"/>
  <c r="H147" i="1"/>
  <c r="G147" i="1"/>
  <c r="F147" i="1"/>
  <c r="E147" i="1"/>
  <c r="D147" i="1"/>
  <c r="C147" i="1"/>
  <c r="B147" i="1"/>
  <c r="A147" i="1"/>
  <c r="J146" i="1"/>
  <c r="I146" i="1"/>
  <c r="H146" i="1"/>
  <c r="G146" i="1"/>
  <c r="F146" i="1"/>
  <c r="E146" i="1"/>
  <c r="D146" i="1"/>
  <c r="C146" i="1"/>
  <c r="B146" i="1"/>
  <c r="A146" i="1"/>
  <c r="J145" i="1"/>
  <c r="I145" i="1"/>
  <c r="H145" i="1"/>
  <c r="G145" i="1"/>
  <c r="F145" i="1"/>
  <c r="E145" i="1"/>
  <c r="D145" i="1"/>
  <c r="C145" i="1"/>
  <c r="B145" i="1"/>
  <c r="A145" i="1"/>
  <c r="J144" i="1"/>
  <c r="I144" i="1"/>
  <c r="H144" i="1"/>
  <c r="G144" i="1"/>
  <c r="F144" i="1"/>
  <c r="E144" i="1"/>
  <c r="D144" i="1"/>
  <c r="C144" i="1"/>
  <c r="B144" i="1"/>
  <c r="A144" i="1"/>
  <c r="J226" i="1"/>
  <c r="I226" i="1"/>
  <c r="H226" i="1"/>
  <c r="G226" i="1"/>
  <c r="F226" i="1"/>
  <c r="E226" i="1"/>
  <c r="D226" i="1"/>
  <c r="C226" i="1"/>
  <c r="B226" i="1"/>
  <c r="A226" i="1"/>
  <c r="J225" i="1"/>
  <c r="I225" i="1"/>
  <c r="H225" i="1"/>
  <c r="G225" i="1"/>
  <c r="F225" i="1"/>
  <c r="E225" i="1"/>
  <c r="D225" i="1"/>
  <c r="C225" i="1"/>
  <c r="B225" i="1"/>
  <c r="A225" i="1"/>
  <c r="J16" i="1"/>
  <c r="I16" i="1"/>
  <c r="H16" i="1"/>
  <c r="G16" i="1"/>
  <c r="F16" i="1"/>
  <c r="E16" i="1"/>
  <c r="D16" i="1"/>
  <c r="C16" i="1"/>
  <c r="B16" i="1"/>
  <c r="A16" i="1"/>
  <c r="J15" i="1"/>
  <c r="I15" i="1"/>
  <c r="H15" i="1"/>
  <c r="G15" i="1"/>
  <c r="F15" i="1"/>
  <c r="E15" i="1"/>
  <c r="D15" i="1"/>
  <c r="C15" i="1"/>
  <c r="B15" i="1"/>
  <c r="A15" i="1"/>
  <c r="J151" i="1"/>
  <c r="I151" i="1"/>
  <c r="H151" i="1"/>
  <c r="G151" i="1"/>
  <c r="F151" i="1"/>
  <c r="E151" i="1"/>
  <c r="D151" i="1"/>
  <c r="C151" i="1"/>
  <c r="B151" i="1"/>
  <c r="A151" i="1"/>
  <c r="J169" i="1"/>
  <c r="I169" i="1"/>
  <c r="H169" i="1"/>
  <c r="G169" i="1"/>
  <c r="F169" i="1"/>
  <c r="E169" i="1"/>
  <c r="D169" i="1"/>
  <c r="C169" i="1"/>
  <c r="B169" i="1"/>
  <c r="A169" i="1"/>
  <c r="J168" i="1"/>
  <c r="I168" i="1"/>
  <c r="H168" i="1"/>
  <c r="G168" i="1"/>
  <c r="F168" i="1"/>
  <c r="E168" i="1"/>
  <c r="D168" i="1"/>
  <c r="C168" i="1"/>
  <c r="B168" i="1"/>
  <c r="A168" i="1"/>
  <c r="J167" i="1"/>
  <c r="I167" i="1"/>
  <c r="H167" i="1"/>
  <c r="G167" i="1"/>
  <c r="F167" i="1"/>
  <c r="E167" i="1"/>
  <c r="D167" i="1"/>
  <c r="C167" i="1"/>
  <c r="B167" i="1"/>
  <c r="A167" i="1"/>
  <c r="J166" i="1"/>
  <c r="I166" i="1"/>
  <c r="H166" i="1"/>
  <c r="G166" i="1"/>
  <c r="F166" i="1"/>
  <c r="E166" i="1"/>
  <c r="D166" i="1"/>
  <c r="C166" i="1"/>
  <c r="B166" i="1"/>
  <c r="A166" i="1"/>
  <c r="J165" i="1"/>
  <c r="I165" i="1"/>
  <c r="H165" i="1"/>
  <c r="G165" i="1"/>
  <c r="F165" i="1"/>
  <c r="E165" i="1"/>
  <c r="D165" i="1"/>
  <c r="C165" i="1"/>
  <c r="B165" i="1"/>
  <c r="A165" i="1"/>
  <c r="J164" i="1"/>
  <c r="I164" i="1"/>
  <c r="H164" i="1"/>
  <c r="G164" i="1"/>
  <c r="F164" i="1"/>
  <c r="E164" i="1"/>
  <c r="D164" i="1"/>
  <c r="C164" i="1"/>
  <c r="B164" i="1"/>
  <c r="A164" i="1"/>
  <c r="J12" i="1"/>
  <c r="I12" i="1"/>
  <c r="H12" i="1"/>
  <c r="G12" i="1"/>
  <c r="F12" i="1"/>
  <c r="E12" i="1"/>
  <c r="D12" i="1"/>
  <c r="C12" i="1"/>
  <c r="B12" i="1"/>
  <c r="A12" i="1"/>
  <c r="J134" i="1"/>
  <c r="I134" i="1"/>
  <c r="H134" i="1"/>
  <c r="G134" i="1"/>
  <c r="F134" i="1"/>
  <c r="E134" i="1"/>
  <c r="D134" i="1"/>
  <c r="C134" i="1"/>
  <c r="B134" i="1"/>
  <c r="A134" i="1"/>
  <c r="J133" i="1"/>
  <c r="I133" i="1"/>
  <c r="H133" i="1"/>
  <c r="G133" i="1"/>
  <c r="F133" i="1"/>
  <c r="E133" i="1"/>
  <c r="D133" i="1"/>
  <c r="C133" i="1"/>
  <c r="B133" i="1"/>
  <c r="A133" i="1"/>
  <c r="J199" i="1"/>
  <c r="I199" i="1"/>
  <c r="H199" i="1"/>
  <c r="G199" i="1"/>
  <c r="F199" i="1"/>
  <c r="E199" i="1"/>
  <c r="D199" i="1"/>
  <c r="C199" i="1"/>
  <c r="B199" i="1"/>
  <c r="A199" i="1"/>
  <c r="J198" i="1"/>
  <c r="I198" i="1"/>
  <c r="H198" i="1"/>
  <c r="G198" i="1"/>
  <c r="F198" i="1"/>
  <c r="E198" i="1"/>
  <c r="D198" i="1"/>
  <c r="C198" i="1"/>
  <c r="B198" i="1"/>
  <c r="A198" i="1"/>
  <c r="J197" i="1"/>
  <c r="I197" i="1"/>
  <c r="H197" i="1"/>
  <c r="G197" i="1"/>
  <c r="F197" i="1"/>
  <c r="E197" i="1"/>
  <c r="D197" i="1"/>
  <c r="C197" i="1"/>
  <c r="B197" i="1"/>
  <c r="A197" i="1"/>
  <c r="J196" i="1"/>
  <c r="I196" i="1"/>
  <c r="H196" i="1"/>
  <c r="G196" i="1"/>
  <c r="F196" i="1"/>
  <c r="E196" i="1"/>
  <c r="D196" i="1"/>
  <c r="C196" i="1"/>
  <c r="B196" i="1"/>
  <c r="A196" i="1"/>
  <c r="J195" i="1"/>
  <c r="I195" i="1"/>
  <c r="H195" i="1"/>
  <c r="G195" i="1"/>
  <c r="F195" i="1"/>
  <c r="E195" i="1"/>
  <c r="D195" i="1"/>
  <c r="C195" i="1"/>
  <c r="B195" i="1"/>
  <c r="A195" i="1"/>
  <c r="J264" i="1"/>
  <c r="I264" i="1"/>
  <c r="H264" i="1"/>
  <c r="G264" i="1"/>
  <c r="F264" i="1"/>
  <c r="E264" i="1"/>
  <c r="D264" i="1"/>
  <c r="C264" i="1"/>
  <c r="B264" i="1"/>
  <c r="A264" i="1"/>
  <c r="J263" i="1"/>
  <c r="I263" i="1"/>
  <c r="H263" i="1"/>
  <c r="G263" i="1"/>
  <c r="F263" i="1"/>
  <c r="E263" i="1"/>
  <c r="D263" i="1"/>
  <c r="C263" i="1"/>
  <c r="B263" i="1"/>
  <c r="A263" i="1"/>
  <c r="J262" i="1"/>
  <c r="I262" i="1"/>
  <c r="H262" i="1"/>
  <c r="G262" i="1"/>
  <c r="F262" i="1"/>
  <c r="E262" i="1"/>
  <c r="D262" i="1"/>
  <c r="C262" i="1"/>
  <c r="B262" i="1"/>
  <c r="A262" i="1"/>
  <c r="J261" i="1"/>
  <c r="I261" i="1"/>
  <c r="H261" i="1"/>
  <c r="G261" i="1"/>
  <c r="F261" i="1"/>
  <c r="E261" i="1"/>
  <c r="D261" i="1"/>
  <c r="C261" i="1"/>
  <c r="B261" i="1"/>
  <c r="A261" i="1"/>
  <c r="J260" i="1"/>
  <c r="I260" i="1"/>
  <c r="H260" i="1"/>
  <c r="G260" i="1"/>
  <c r="F260" i="1"/>
  <c r="E260" i="1"/>
  <c r="D260" i="1"/>
  <c r="C260" i="1"/>
  <c r="B260" i="1"/>
  <c r="A260" i="1"/>
  <c r="J259" i="1"/>
  <c r="I259" i="1"/>
  <c r="H259" i="1"/>
  <c r="G259" i="1"/>
  <c r="F259" i="1"/>
  <c r="E259" i="1"/>
  <c r="D259" i="1"/>
  <c r="C259" i="1"/>
  <c r="B259" i="1"/>
  <c r="A259" i="1"/>
  <c r="J258" i="1"/>
  <c r="I258" i="1"/>
  <c r="H258" i="1"/>
  <c r="G258" i="1"/>
  <c r="F258" i="1"/>
  <c r="E258" i="1"/>
  <c r="D258" i="1"/>
  <c r="C258" i="1"/>
  <c r="B258" i="1"/>
  <c r="A258" i="1"/>
  <c r="J257" i="1"/>
  <c r="I257" i="1"/>
  <c r="H257" i="1"/>
  <c r="G257" i="1"/>
  <c r="F257" i="1"/>
  <c r="E257" i="1"/>
  <c r="D257" i="1"/>
  <c r="C257" i="1"/>
  <c r="B257" i="1"/>
  <c r="A257" i="1"/>
  <c r="J256" i="1"/>
  <c r="I256" i="1"/>
  <c r="H256" i="1"/>
  <c r="G256" i="1"/>
  <c r="F256" i="1"/>
  <c r="E256" i="1"/>
  <c r="D256" i="1"/>
  <c r="C256" i="1"/>
  <c r="B256" i="1"/>
  <c r="A256" i="1"/>
  <c r="J255" i="1"/>
  <c r="I255" i="1"/>
  <c r="H255" i="1"/>
  <c r="G255" i="1"/>
  <c r="F255" i="1"/>
  <c r="E255" i="1"/>
  <c r="D255" i="1"/>
  <c r="C255" i="1"/>
  <c r="B255" i="1"/>
  <c r="A255" i="1"/>
  <c r="J254" i="1"/>
  <c r="I254" i="1"/>
  <c r="H254" i="1"/>
  <c r="G254" i="1"/>
  <c r="F254" i="1"/>
  <c r="E254" i="1"/>
  <c r="D254" i="1"/>
  <c r="C254" i="1"/>
  <c r="B254" i="1"/>
  <c r="A254" i="1"/>
  <c r="J253" i="1"/>
  <c r="I253" i="1"/>
  <c r="H253" i="1"/>
  <c r="G253" i="1"/>
  <c r="F253" i="1"/>
  <c r="E253" i="1"/>
  <c r="D253" i="1"/>
  <c r="C253" i="1"/>
  <c r="B253" i="1"/>
  <c r="A253" i="1"/>
  <c r="J88" i="1"/>
  <c r="I88" i="1"/>
  <c r="H88" i="1"/>
  <c r="G88" i="1"/>
  <c r="F88" i="1"/>
  <c r="E88" i="1"/>
  <c r="D88" i="1"/>
  <c r="C88" i="1"/>
  <c r="B88" i="1"/>
  <c r="A88" i="1"/>
  <c r="J87" i="1"/>
  <c r="I87" i="1"/>
  <c r="H87" i="1"/>
  <c r="G87" i="1"/>
  <c r="F87" i="1"/>
  <c r="E87" i="1"/>
  <c r="D87" i="1"/>
  <c r="C87" i="1"/>
  <c r="B87" i="1"/>
  <c r="A87" i="1"/>
  <c r="J86" i="1"/>
  <c r="I86" i="1"/>
  <c r="H86" i="1"/>
  <c r="G86" i="1"/>
  <c r="F86" i="1"/>
  <c r="E86" i="1"/>
  <c r="D86" i="1"/>
  <c r="C86" i="1"/>
  <c r="B86" i="1"/>
  <c r="A86" i="1"/>
  <c r="J85" i="1"/>
  <c r="I85" i="1"/>
  <c r="H85" i="1"/>
  <c r="G85" i="1"/>
  <c r="F85" i="1"/>
  <c r="E85" i="1"/>
  <c r="D85" i="1"/>
  <c r="C85" i="1"/>
  <c r="B85" i="1"/>
  <c r="A85" i="1"/>
  <c r="J84" i="1"/>
  <c r="I84" i="1"/>
  <c r="H84" i="1"/>
  <c r="G84" i="1"/>
  <c r="F84" i="1"/>
  <c r="E84" i="1"/>
  <c r="D84" i="1"/>
  <c r="C84" i="1"/>
  <c r="B84" i="1"/>
  <c r="A84" i="1"/>
  <c r="J83" i="1"/>
  <c r="I83" i="1"/>
  <c r="H83" i="1"/>
  <c r="G83" i="1"/>
  <c r="F83" i="1"/>
  <c r="E83" i="1"/>
  <c r="D83" i="1"/>
  <c r="C83" i="1"/>
  <c r="B83" i="1"/>
  <c r="A83" i="1"/>
  <c r="J82" i="1"/>
  <c r="I82" i="1"/>
  <c r="H82" i="1"/>
  <c r="G82" i="1"/>
  <c r="F82" i="1"/>
  <c r="E82" i="1"/>
  <c r="D82" i="1"/>
  <c r="C82" i="1"/>
  <c r="B82" i="1"/>
  <c r="A82" i="1"/>
  <c r="J81" i="1"/>
  <c r="I81" i="1"/>
  <c r="H81" i="1"/>
  <c r="G81" i="1"/>
  <c r="F81" i="1"/>
  <c r="E81" i="1"/>
  <c r="D81" i="1"/>
  <c r="C81" i="1"/>
  <c r="B81" i="1"/>
  <c r="A81" i="1"/>
  <c r="J80" i="1"/>
  <c r="I80" i="1"/>
  <c r="H80" i="1"/>
  <c r="G80" i="1"/>
  <c r="F80" i="1"/>
  <c r="E80" i="1"/>
  <c r="D80" i="1"/>
  <c r="C80" i="1"/>
  <c r="B80" i="1"/>
  <c r="A80" i="1"/>
  <c r="J236" i="1"/>
  <c r="I236" i="1"/>
  <c r="H236" i="1"/>
  <c r="G236" i="1"/>
  <c r="F236" i="1"/>
  <c r="E236" i="1"/>
  <c r="D236" i="1"/>
  <c r="C236" i="1"/>
  <c r="B236" i="1"/>
  <c r="A236" i="1"/>
  <c r="J235" i="1"/>
  <c r="I235" i="1"/>
  <c r="H235" i="1"/>
  <c r="G235" i="1"/>
  <c r="F235" i="1"/>
  <c r="E235" i="1"/>
  <c r="D235" i="1"/>
  <c r="C235" i="1"/>
  <c r="B235" i="1"/>
  <c r="A235" i="1"/>
  <c r="J234" i="1"/>
  <c r="I234" i="1"/>
  <c r="H234" i="1"/>
  <c r="G234" i="1"/>
  <c r="F234" i="1"/>
  <c r="E234" i="1"/>
  <c r="D234" i="1"/>
  <c r="C234" i="1"/>
  <c r="B234" i="1"/>
  <c r="A234" i="1"/>
  <c r="J233" i="1"/>
  <c r="I233" i="1"/>
  <c r="H233" i="1"/>
  <c r="G233" i="1"/>
  <c r="F233" i="1"/>
  <c r="E233" i="1"/>
  <c r="D233" i="1"/>
  <c r="C233" i="1"/>
  <c r="B233" i="1"/>
  <c r="A233" i="1"/>
  <c r="J232" i="1"/>
  <c r="I232" i="1"/>
  <c r="H232" i="1"/>
  <c r="G232" i="1"/>
  <c r="F232" i="1"/>
  <c r="E232" i="1"/>
  <c r="D232" i="1"/>
  <c r="C232" i="1"/>
  <c r="B232" i="1"/>
  <c r="A232" i="1"/>
  <c r="J231" i="1"/>
  <c r="I231" i="1"/>
  <c r="H231" i="1"/>
  <c r="G231" i="1"/>
  <c r="F231" i="1"/>
  <c r="E231" i="1"/>
  <c r="D231" i="1"/>
  <c r="C231" i="1"/>
  <c r="B231" i="1"/>
  <c r="A231" i="1"/>
  <c r="J230" i="1"/>
  <c r="I230" i="1"/>
  <c r="H230" i="1"/>
  <c r="G230" i="1"/>
  <c r="F230" i="1"/>
  <c r="E230" i="1"/>
  <c r="D230" i="1"/>
  <c r="C230" i="1"/>
  <c r="B230" i="1"/>
  <c r="A230" i="1"/>
  <c r="J107" i="1"/>
  <c r="I107" i="1"/>
  <c r="H107" i="1"/>
  <c r="G107" i="1"/>
  <c r="F107" i="1"/>
  <c r="E107" i="1"/>
  <c r="D107" i="1"/>
  <c r="C107" i="1"/>
  <c r="B107" i="1"/>
  <c r="A107" i="1"/>
  <c r="J106" i="1"/>
  <c r="I106" i="1"/>
  <c r="H106" i="1"/>
  <c r="G106" i="1"/>
  <c r="F106" i="1"/>
  <c r="E106" i="1"/>
  <c r="D106" i="1"/>
  <c r="C106" i="1"/>
  <c r="B106" i="1"/>
  <c r="A106" i="1"/>
  <c r="J105" i="1"/>
  <c r="I105" i="1"/>
  <c r="H105" i="1"/>
  <c r="G105" i="1"/>
  <c r="F105" i="1"/>
  <c r="E105" i="1"/>
  <c r="D105" i="1"/>
  <c r="C105" i="1"/>
  <c r="B105" i="1"/>
  <c r="A105" i="1"/>
  <c r="J104" i="1"/>
  <c r="I104" i="1"/>
  <c r="H104" i="1"/>
  <c r="G104" i="1"/>
  <c r="F104" i="1"/>
  <c r="E104" i="1"/>
  <c r="D104" i="1"/>
  <c r="C104" i="1"/>
  <c r="B104" i="1"/>
  <c r="A104" i="1"/>
  <c r="J103" i="1"/>
  <c r="I103" i="1"/>
  <c r="H103" i="1"/>
  <c r="G103" i="1"/>
  <c r="F103" i="1"/>
  <c r="E103" i="1"/>
  <c r="D103" i="1"/>
  <c r="C103" i="1"/>
  <c r="B103" i="1"/>
  <c r="A103" i="1"/>
  <c r="J102" i="1"/>
  <c r="I102" i="1"/>
  <c r="H102" i="1"/>
  <c r="G102" i="1"/>
  <c r="F102" i="1"/>
  <c r="E102" i="1"/>
  <c r="D102" i="1"/>
  <c r="C102" i="1"/>
  <c r="B102" i="1"/>
  <c r="A102" i="1"/>
  <c r="J101" i="1"/>
  <c r="I101" i="1"/>
  <c r="H101" i="1"/>
  <c r="G101" i="1"/>
  <c r="F101" i="1"/>
  <c r="E101" i="1"/>
  <c r="D101" i="1"/>
  <c r="C101" i="1"/>
  <c r="B101" i="1"/>
  <c r="A101" i="1"/>
  <c r="J100" i="1"/>
  <c r="I100" i="1"/>
  <c r="H100" i="1"/>
  <c r="G100" i="1"/>
  <c r="F100" i="1"/>
  <c r="E100" i="1"/>
  <c r="D100" i="1"/>
  <c r="C100" i="1"/>
  <c r="B100" i="1"/>
  <c r="A100" i="1"/>
  <c r="J99" i="1"/>
  <c r="I99" i="1"/>
  <c r="H99" i="1"/>
  <c r="G99" i="1"/>
  <c r="F99" i="1"/>
  <c r="E99" i="1"/>
  <c r="D99" i="1"/>
  <c r="C99" i="1"/>
  <c r="B99" i="1"/>
  <c r="A99" i="1"/>
  <c r="J98" i="1"/>
  <c r="I98" i="1"/>
  <c r="H98" i="1"/>
  <c r="G98" i="1"/>
  <c r="F98" i="1"/>
  <c r="E98" i="1"/>
  <c r="D98" i="1"/>
  <c r="C98" i="1"/>
  <c r="B98" i="1"/>
  <c r="A98" i="1"/>
  <c r="J97" i="1"/>
  <c r="I97" i="1"/>
  <c r="H97" i="1"/>
  <c r="G97" i="1"/>
  <c r="F97" i="1"/>
  <c r="E97" i="1"/>
  <c r="D97" i="1"/>
  <c r="C97" i="1"/>
  <c r="B97" i="1"/>
  <c r="A97" i="1"/>
  <c r="J96" i="1"/>
  <c r="I96" i="1"/>
  <c r="H96" i="1"/>
  <c r="G96" i="1"/>
  <c r="F96" i="1"/>
  <c r="E96" i="1"/>
  <c r="D96" i="1"/>
  <c r="C96" i="1"/>
  <c r="B96" i="1"/>
  <c r="A96" i="1"/>
  <c r="J44" i="1"/>
  <c r="I44" i="1"/>
  <c r="H44" i="1"/>
  <c r="G44" i="1"/>
  <c r="F44" i="1"/>
  <c r="E44" i="1"/>
  <c r="D44" i="1"/>
  <c r="C44" i="1"/>
  <c r="B44" i="1"/>
  <c r="A44" i="1"/>
  <c r="J43" i="1"/>
  <c r="I43" i="1"/>
  <c r="H43" i="1"/>
  <c r="G43" i="1"/>
  <c r="F43" i="1"/>
  <c r="E43" i="1"/>
  <c r="D43" i="1"/>
  <c r="C43" i="1"/>
  <c r="B43" i="1"/>
  <c r="A43" i="1"/>
  <c r="J42" i="1"/>
  <c r="I42" i="1"/>
  <c r="H42" i="1"/>
  <c r="G42" i="1"/>
  <c r="F42" i="1"/>
  <c r="E42" i="1"/>
  <c r="D42" i="1"/>
  <c r="C42" i="1"/>
  <c r="B42" i="1"/>
  <c r="A42" i="1"/>
  <c r="J41" i="1"/>
  <c r="I41" i="1"/>
  <c r="H41" i="1"/>
  <c r="G41" i="1"/>
  <c r="F41" i="1"/>
  <c r="E41" i="1"/>
  <c r="D41" i="1"/>
  <c r="C41" i="1"/>
  <c r="B41" i="1"/>
  <c r="A41" i="1"/>
  <c r="J40" i="1"/>
  <c r="I40" i="1"/>
  <c r="H40" i="1"/>
  <c r="G40" i="1"/>
  <c r="F40" i="1"/>
  <c r="E40" i="1"/>
  <c r="D40" i="1"/>
  <c r="C40" i="1"/>
  <c r="B40" i="1"/>
  <c r="A40" i="1"/>
  <c r="J39" i="1"/>
  <c r="I39" i="1"/>
  <c r="H39" i="1"/>
  <c r="G39" i="1"/>
  <c r="F39" i="1"/>
  <c r="E39" i="1"/>
  <c r="D39" i="1"/>
  <c r="C39" i="1"/>
  <c r="B39" i="1"/>
  <c r="A39" i="1"/>
  <c r="J38" i="1"/>
  <c r="I38" i="1"/>
  <c r="H38" i="1"/>
  <c r="G38" i="1"/>
  <c r="F38" i="1"/>
  <c r="E38" i="1"/>
  <c r="D38" i="1"/>
  <c r="C38" i="1"/>
  <c r="B38" i="1"/>
  <c r="A38" i="1"/>
  <c r="J37" i="1"/>
  <c r="I37" i="1"/>
  <c r="H37" i="1"/>
  <c r="G37" i="1"/>
  <c r="F37" i="1"/>
  <c r="E37" i="1"/>
  <c r="D37" i="1"/>
  <c r="C37" i="1"/>
  <c r="B37" i="1"/>
  <c r="A37" i="1"/>
  <c r="J36" i="1"/>
  <c r="I36" i="1"/>
  <c r="H36" i="1"/>
  <c r="G36" i="1"/>
  <c r="F36" i="1"/>
  <c r="E36" i="1"/>
  <c r="D36" i="1"/>
  <c r="C36" i="1"/>
  <c r="B36" i="1"/>
  <c r="A36" i="1"/>
  <c r="J35" i="1"/>
  <c r="I35" i="1"/>
  <c r="H35" i="1"/>
  <c r="G35" i="1"/>
  <c r="F35" i="1"/>
  <c r="E35" i="1"/>
  <c r="D35" i="1"/>
  <c r="C35" i="1"/>
  <c r="B35" i="1"/>
  <c r="A35" i="1"/>
  <c r="J34" i="1"/>
  <c r="I34" i="1"/>
  <c r="H34" i="1"/>
  <c r="G34" i="1"/>
  <c r="F34" i="1"/>
  <c r="E34" i="1"/>
  <c r="D34" i="1"/>
  <c r="C34" i="1"/>
  <c r="B34" i="1"/>
  <c r="A34" i="1"/>
  <c r="J33" i="1"/>
  <c r="I33" i="1"/>
  <c r="H33" i="1"/>
  <c r="G33" i="1"/>
  <c r="F33" i="1"/>
  <c r="E33" i="1"/>
  <c r="D33" i="1"/>
  <c r="C33" i="1"/>
  <c r="B33" i="1"/>
  <c r="A33" i="1"/>
  <c r="J32" i="1"/>
  <c r="I32" i="1"/>
  <c r="H32" i="1"/>
  <c r="G32" i="1"/>
  <c r="F32" i="1"/>
  <c r="E32" i="1"/>
  <c r="D32" i="1"/>
  <c r="C32" i="1"/>
  <c r="B32" i="1"/>
  <c r="A32" i="1"/>
  <c r="J31" i="1"/>
  <c r="I31" i="1"/>
  <c r="H31" i="1"/>
  <c r="G31" i="1"/>
  <c r="F31" i="1"/>
  <c r="E31" i="1"/>
  <c r="D31" i="1"/>
  <c r="C31" i="1"/>
  <c r="B31" i="1"/>
  <c r="A31" i="1"/>
  <c r="J30" i="1"/>
  <c r="I30" i="1"/>
  <c r="H30" i="1"/>
  <c r="G30" i="1"/>
  <c r="F30" i="1"/>
  <c r="E30" i="1"/>
  <c r="D30" i="1"/>
  <c r="C30" i="1"/>
  <c r="B30" i="1"/>
  <c r="A30" i="1"/>
  <c r="J29" i="1"/>
  <c r="I29" i="1"/>
  <c r="H29" i="1"/>
  <c r="G29" i="1"/>
  <c r="F29" i="1"/>
  <c r="E29" i="1"/>
  <c r="D29" i="1"/>
  <c r="C29" i="1"/>
  <c r="B29" i="1"/>
  <c r="A29" i="1"/>
  <c r="J64" i="1"/>
  <c r="I64" i="1"/>
  <c r="H64" i="1"/>
  <c r="G64" i="1"/>
  <c r="F64" i="1"/>
  <c r="E64" i="1"/>
  <c r="D64" i="1"/>
  <c r="C64" i="1"/>
  <c r="B64" i="1"/>
  <c r="A64" i="1"/>
  <c r="J63" i="1"/>
  <c r="I63" i="1"/>
  <c r="H63" i="1"/>
  <c r="G63" i="1"/>
  <c r="F63" i="1"/>
  <c r="E63" i="1"/>
  <c r="D63" i="1"/>
  <c r="C63" i="1"/>
  <c r="B63" i="1"/>
  <c r="A63" i="1"/>
  <c r="J62" i="1"/>
  <c r="I62" i="1"/>
  <c r="H62" i="1"/>
  <c r="G62" i="1"/>
  <c r="F62" i="1"/>
  <c r="E62" i="1"/>
  <c r="D62" i="1"/>
  <c r="C62" i="1"/>
  <c r="B62" i="1"/>
  <c r="A62" i="1"/>
  <c r="J61" i="1"/>
  <c r="I61" i="1"/>
  <c r="H61" i="1"/>
  <c r="G61" i="1"/>
  <c r="F61" i="1"/>
  <c r="E61" i="1"/>
  <c r="D61" i="1"/>
  <c r="C61" i="1"/>
  <c r="B61" i="1"/>
  <c r="A61" i="1"/>
  <c r="J60" i="1"/>
  <c r="I60" i="1"/>
  <c r="H60" i="1"/>
  <c r="G60" i="1"/>
  <c r="F60" i="1"/>
  <c r="E60" i="1"/>
  <c r="D60" i="1"/>
  <c r="C60" i="1"/>
  <c r="B60" i="1"/>
  <c r="A60" i="1"/>
  <c r="J59" i="1"/>
  <c r="I59" i="1"/>
  <c r="H59" i="1"/>
  <c r="G59" i="1"/>
  <c r="F59" i="1"/>
  <c r="E59" i="1"/>
  <c r="D59" i="1"/>
  <c r="C59" i="1"/>
  <c r="B59" i="1"/>
  <c r="A59" i="1"/>
  <c r="J58" i="1"/>
  <c r="I58" i="1"/>
  <c r="H58" i="1"/>
  <c r="G58" i="1"/>
  <c r="F58" i="1"/>
  <c r="E58" i="1"/>
  <c r="D58" i="1"/>
  <c r="C58" i="1"/>
  <c r="B58" i="1"/>
  <c r="A58" i="1"/>
  <c r="J57" i="1"/>
  <c r="I57" i="1"/>
  <c r="H57" i="1"/>
  <c r="G57" i="1"/>
  <c r="F57" i="1"/>
  <c r="E57" i="1"/>
  <c r="D57" i="1"/>
  <c r="C57" i="1"/>
  <c r="B57" i="1"/>
  <c r="A57" i="1"/>
  <c r="J56" i="1"/>
  <c r="I56" i="1"/>
  <c r="H56" i="1"/>
  <c r="G56" i="1"/>
  <c r="F56" i="1"/>
  <c r="E56" i="1"/>
  <c r="D56" i="1"/>
  <c r="C56" i="1"/>
  <c r="B56" i="1"/>
  <c r="A56" i="1"/>
  <c r="J55" i="1"/>
  <c r="I55" i="1"/>
  <c r="H55" i="1"/>
  <c r="G55" i="1"/>
  <c r="F55" i="1"/>
  <c r="E55" i="1"/>
  <c r="D55" i="1"/>
  <c r="C55" i="1"/>
  <c r="B55" i="1"/>
  <c r="A55" i="1"/>
  <c r="J54" i="1"/>
  <c r="I54" i="1"/>
  <c r="H54" i="1"/>
  <c r="G54" i="1"/>
  <c r="F54" i="1"/>
  <c r="E54" i="1"/>
  <c r="D54" i="1"/>
  <c r="C54" i="1"/>
  <c r="B54" i="1"/>
  <c r="A54" i="1"/>
  <c r="J186" i="1"/>
  <c r="I186" i="1"/>
  <c r="H186" i="1"/>
  <c r="G186" i="1"/>
  <c r="F186" i="1"/>
  <c r="E186" i="1"/>
  <c r="D186" i="1"/>
  <c r="C186" i="1"/>
  <c r="B186" i="1"/>
  <c r="A186" i="1"/>
  <c r="J185" i="1"/>
  <c r="I185" i="1"/>
  <c r="H185" i="1"/>
  <c r="G185" i="1"/>
  <c r="F185" i="1"/>
  <c r="E185" i="1"/>
  <c r="D185" i="1"/>
  <c r="C185" i="1"/>
  <c r="B185" i="1"/>
  <c r="A185" i="1"/>
  <c r="J184" i="1"/>
  <c r="I184" i="1"/>
  <c r="H184" i="1"/>
  <c r="G184" i="1"/>
  <c r="F184" i="1"/>
  <c r="E184" i="1"/>
  <c r="D184" i="1"/>
  <c r="C184" i="1"/>
  <c r="B184" i="1"/>
  <c r="A184" i="1"/>
  <c r="J183" i="1"/>
  <c r="I183" i="1"/>
  <c r="H183" i="1"/>
  <c r="G183" i="1"/>
  <c r="F183" i="1"/>
  <c r="E183" i="1"/>
  <c r="D183" i="1"/>
  <c r="C183" i="1"/>
  <c r="B183" i="1"/>
  <c r="A183" i="1"/>
  <c r="J182" i="1"/>
  <c r="I182" i="1"/>
  <c r="H182" i="1"/>
  <c r="G182" i="1"/>
  <c r="F182" i="1"/>
  <c r="E182" i="1"/>
  <c r="D182" i="1"/>
  <c r="C182" i="1"/>
  <c r="B182" i="1"/>
  <c r="A182" i="1"/>
  <c r="J181" i="1"/>
  <c r="I181" i="1"/>
  <c r="H181" i="1"/>
  <c r="G181" i="1"/>
  <c r="F181" i="1"/>
  <c r="E181" i="1"/>
  <c r="D181" i="1"/>
  <c r="C181" i="1"/>
  <c r="B181" i="1"/>
  <c r="A181" i="1"/>
  <c r="J53" i="1"/>
  <c r="I53" i="1"/>
  <c r="H53" i="1"/>
  <c r="G53" i="1"/>
  <c r="F53" i="1"/>
  <c r="E53" i="1"/>
  <c r="D53" i="1"/>
  <c r="C53" i="1"/>
  <c r="B53" i="1"/>
  <c r="A53" i="1"/>
  <c r="J11" i="1"/>
  <c r="I11" i="1"/>
  <c r="H11" i="1"/>
  <c r="G11" i="1"/>
  <c r="F11" i="1"/>
  <c r="E11" i="1"/>
  <c r="D11" i="1"/>
  <c r="C11" i="1"/>
  <c r="B11" i="1"/>
  <c r="A11" i="1"/>
  <c r="J10" i="1"/>
  <c r="I10" i="1"/>
  <c r="H10" i="1"/>
  <c r="G10" i="1"/>
  <c r="F10" i="1"/>
  <c r="E10" i="1"/>
  <c r="D10" i="1"/>
  <c r="C10" i="1"/>
  <c r="B10" i="1"/>
  <c r="A10" i="1"/>
  <c r="J9" i="1"/>
  <c r="I9" i="1"/>
  <c r="H9" i="1"/>
  <c r="G9" i="1"/>
  <c r="F9" i="1"/>
  <c r="E9" i="1"/>
  <c r="D9" i="1"/>
  <c r="C9" i="1"/>
  <c r="B9" i="1"/>
  <c r="A9" i="1"/>
  <c r="J8" i="1"/>
  <c r="I8" i="1"/>
  <c r="H8" i="1"/>
  <c r="G8" i="1"/>
  <c r="F8" i="1"/>
  <c r="E8" i="1"/>
  <c r="D8" i="1"/>
  <c r="C8" i="1"/>
  <c r="B8" i="1"/>
  <c r="A8" i="1"/>
  <c r="J7" i="1"/>
  <c r="I7" i="1"/>
  <c r="H7" i="1"/>
  <c r="G7" i="1"/>
  <c r="F7" i="1"/>
  <c r="E7" i="1"/>
  <c r="D7" i="1"/>
  <c r="C7" i="1"/>
  <c r="B7" i="1"/>
  <c r="A7" i="1"/>
  <c r="J6" i="1"/>
  <c r="I6" i="1"/>
  <c r="H6" i="1"/>
  <c r="G6" i="1"/>
  <c r="F6" i="1"/>
  <c r="E6" i="1"/>
  <c r="D6" i="1"/>
  <c r="C6" i="1"/>
  <c r="B6" i="1"/>
  <c r="A6" i="1"/>
  <c r="J5" i="1"/>
  <c r="I5" i="1"/>
  <c r="H5" i="1"/>
  <c r="G5" i="1"/>
  <c r="F5" i="1"/>
  <c r="E5" i="1"/>
  <c r="D5" i="1"/>
  <c r="C5" i="1"/>
  <c r="B5" i="1"/>
  <c r="A5" i="1"/>
  <c r="J4" i="1"/>
  <c r="I4" i="1"/>
  <c r="H4" i="1"/>
  <c r="G4" i="1"/>
  <c r="F4" i="1"/>
  <c r="E4" i="1"/>
  <c r="D4" i="1"/>
  <c r="C4" i="1"/>
  <c r="B4" i="1"/>
  <c r="A4" i="1"/>
  <c r="J3" i="1"/>
  <c r="I3" i="1"/>
  <c r="H3" i="1"/>
  <c r="G3" i="1"/>
  <c r="F3" i="1"/>
  <c r="E3" i="1"/>
  <c r="D3" i="1"/>
  <c r="C3" i="1"/>
  <c r="B3" i="1"/>
  <c r="A3" i="1"/>
  <c r="J2" i="1"/>
  <c r="I2" i="1"/>
  <c r="H2" i="1"/>
  <c r="G2" i="1"/>
  <c r="F2" i="1"/>
  <c r="E2" i="1"/>
  <c r="D2" i="1"/>
  <c r="C2" i="1"/>
  <c r="B2" i="1"/>
  <c r="A2" i="1"/>
  <c r="J124" i="1"/>
  <c r="I124" i="1"/>
  <c r="H124" i="1"/>
  <c r="G124" i="1"/>
  <c r="F124" i="1"/>
  <c r="E124" i="1"/>
  <c r="D124" i="1"/>
  <c r="C124" i="1"/>
  <c r="B124" i="1"/>
  <c r="A124" i="1"/>
  <c r="J123" i="1"/>
  <c r="I123" i="1"/>
  <c r="H123" i="1"/>
  <c r="G123" i="1"/>
  <c r="F123" i="1"/>
  <c r="E123" i="1"/>
  <c r="D123" i="1"/>
  <c r="C123" i="1"/>
  <c r="B123" i="1"/>
  <c r="A123" i="1"/>
  <c r="J121" i="1"/>
  <c r="I121" i="1"/>
  <c r="H121" i="1"/>
  <c r="G121" i="1"/>
  <c r="F121" i="1"/>
  <c r="E121" i="1"/>
  <c r="D121" i="1"/>
  <c r="C121" i="1"/>
  <c r="B121" i="1"/>
  <c r="A121" i="1"/>
  <c r="J120" i="1"/>
  <c r="I120" i="1"/>
  <c r="H120" i="1"/>
  <c r="G120" i="1"/>
  <c r="F120" i="1"/>
  <c r="E120" i="1"/>
  <c r="D120" i="1"/>
  <c r="C120" i="1"/>
  <c r="B120" i="1"/>
  <c r="A120" i="1"/>
  <c r="J119" i="1"/>
  <c r="I119" i="1"/>
  <c r="H119" i="1"/>
  <c r="G119" i="1"/>
  <c r="F119" i="1"/>
  <c r="E119" i="1"/>
  <c r="D119" i="1"/>
  <c r="C119" i="1"/>
  <c r="B119" i="1"/>
  <c r="A119" i="1"/>
  <c r="J118" i="1"/>
  <c r="I118" i="1"/>
  <c r="H118" i="1"/>
  <c r="G118" i="1"/>
  <c r="F118" i="1"/>
  <c r="E118" i="1"/>
  <c r="D118" i="1"/>
  <c r="C118" i="1"/>
  <c r="B118" i="1"/>
  <c r="A118" i="1"/>
  <c r="J117" i="1"/>
  <c r="I117" i="1"/>
  <c r="H117" i="1"/>
  <c r="G117" i="1"/>
  <c r="F117" i="1"/>
  <c r="E117" i="1"/>
  <c r="D117" i="1"/>
  <c r="C117" i="1"/>
  <c r="B117" i="1"/>
  <c r="A117" i="1"/>
  <c r="J115" i="1"/>
  <c r="I115" i="1"/>
  <c r="H115" i="1"/>
  <c r="G115" i="1"/>
  <c r="F115" i="1"/>
  <c r="E115" i="1"/>
  <c r="D115" i="1"/>
  <c r="C115" i="1"/>
  <c r="B115" i="1"/>
  <c r="A115" i="1"/>
  <c r="J252" i="1"/>
  <c r="I252" i="1"/>
  <c r="H252" i="1"/>
  <c r="G252" i="1"/>
  <c r="F252" i="1"/>
  <c r="E252" i="1"/>
  <c r="D252" i="1"/>
  <c r="C252" i="1"/>
  <c r="B252" i="1"/>
  <c r="A252" i="1"/>
  <c r="J251" i="1"/>
  <c r="I251" i="1"/>
  <c r="H251" i="1"/>
  <c r="G251" i="1"/>
  <c r="F251" i="1"/>
  <c r="E251" i="1"/>
  <c r="D251" i="1"/>
  <c r="C251" i="1"/>
  <c r="B251" i="1"/>
  <c r="A251" i="1"/>
  <c r="J250" i="1"/>
  <c r="I250" i="1"/>
  <c r="H250" i="1"/>
  <c r="G250" i="1"/>
  <c r="F250" i="1"/>
  <c r="E250" i="1"/>
  <c r="D250" i="1"/>
  <c r="C250" i="1"/>
  <c r="B250" i="1"/>
  <c r="A250" i="1"/>
  <c r="J229" i="1"/>
  <c r="I229" i="1"/>
  <c r="H229" i="1"/>
  <c r="G229" i="1"/>
  <c r="F229" i="1"/>
  <c r="E229" i="1"/>
  <c r="D229" i="1"/>
  <c r="C229" i="1"/>
  <c r="B229" i="1"/>
  <c r="A229" i="1"/>
  <c r="J228" i="1"/>
  <c r="I228" i="1"/>
  <c r="H228" i="1"/>
  <c r="G228" i="1"/>
  <c r="F228" i="1"/>
  <c r="E228" i="1"/>
  <c r="D228" i="1"/>
  <c r="C228" i="1"/>
  <c r="B228" i="1"/>
  <c r="A228" i="1"/>
  <c r="J227" i="1"/>
  <c r="I227" i="1"/>
  <c r="H227" i="1"/>
  <c r="G227" i="1"/>
  <c r="F227" i="1"/>
  <c r="E227" i="1"/>
  <c r="D227" i="1"/>
  <c r="C227" i="1"/>
  <c r="B227" i="1"/>
  <c r="A227" i="1"/>
  <c r="J173" i="1"/>
  <c r="I173" i="1"/>
  <c r="H173" i="1"/>
  <c r="G173" i="1"/>
  <c r="F173" i="1"/>
  <c r="E173" i="1"/>
  <c r="D173" i="1"/>
  <c r="C173" i="1"/>
  <c r="B173" i="1"/>
  <c r="A173" i="1"/>
  <c r="J172" i="1"/>
  <c r="I172" i="1"/>
  <c r="H172" i="1"/>
  <c r="G172" i="1"/>
  <c r="F172" i="1"/>
  <c r="E172" i="1"/>
  <c r="D172" i="1"/>
  <c r="C172" i="1"/>
  <c r="B172" i="1"/>
  <c r="A172" i="1"/>
  <c r="J149" i="1"/>
  <c r="I149" i="1"/>
  <c r="H149" i="1"/>
  <c r="G149" i="1"/>
  <c r="F149" i="1"/>
  <c r="E149" i="1"/>
  <c r="D149" i="1"/>
  <c r="C149" i="1"/>
  <c r="B149" i="1"/>
  <c r="A149" i="1"/>
  <c r="J150" i="1"/>
  <c r="I150" i="1"/>
  <c r="H150" i="1"/>
  <c r="G150" i="1"/>
  <c r="F150" i="1"/>
  <c r="E150" i="1"/>
  <c r="D150" i="1"/>
  <c r="C150" i="1"/>
  <c r="B150" i="1"/>
  <c r="A150" i="1"/>
  <c r="J148" i="1"/>
  <c r="I148" i="1"/>
  <c r="H148" i="1"/>
  <c r="G148" i="1"/>
  <c r="F148" i="1"/>
  <c r="E148" i="1"/>
  <c r="D148" i="1"/>
  <c r="C148" i="1"/>
  <c r="B148" i="1"/>
  <c r="A148" i="1"/>
  <c r="J116" i="1"/>
  <c r="I116" i="1"/>
  <c r="H116" i="1"/>
  <c r="G116" i="1"/>
  <c r="F116" i="1"/>
  <c r="E116" i="1"/>
  <c r="D116" i="1"/>
  <c r="C116" i="1"/>
  <c r="B116" i="1"/>
  <c r="A116" i="1"/>
  <c r="J128" i="1"/>
  <c r="I128" i="1"/>
  <c r="H128" i="1"/>
  <c r="G128" i="1"/>
  <c r="F128" i="1"/>
  <c r="E128" i="1"/>
  <c r="D128" i="1"/>
  <c r="C128" i="1"/>
  <c r="B128" i="1"/>
  <c r="A128" i="1"/>
  <c r="J126" i="1"/>
  <c r="I126" i="1"/>
  <c r="H126" i="1"/>
  <c r="G126" i="1"/>
  <c r="F126" i="1"/>
  <c r="E126" i="1"/>
  <c r="D126" i="1"/>
  <c r="C126" i="1"/>
  <c r="B126" i="1"/>
  <c r="A126" i="1"/>
  <c r="J122" i="1"/>
  <c r="I122" i="1"/>
  <c r="H122" i="1"/>
  <c r="G122" i="1"/>
  <c r="F122" i="1"/>
  <c r="E122" i="1"/>
  <c r="D122" i="1"/>
  <c r="C122" i="1"/>
  <c r="B122" i="1"/>
  <c r="A122" i="1"/>
  <c r="J127" i="1"/>
  <c r="I127" i="1"/>
  <c r="H127" i="1"/>
  <c r="G127" i="1"/>
  <c r="F127" i="1"/>
  <c r="E127" i="1"/>
  <c r="D127" i="1"/>
  <c r="C127" i="1"/>
  <c r="B127" i="1"/>
  <c r="A127" i="1"/>
  <c r="J125" i="1"/>
  <c r="I125" i="1"/>
  <c r="H125" i="1"/>
  <c r="G125" i="1"/>
  <c r="F125" i="1"/>
  <c r="E125" i="1"/>
  <c r="D125" i="1"/>
  <c r="C125" i="1"/>
  <c r="B125" i="1"/>
  <c r="A125" i="1"/>
  <c r="J129" i="1"/>
  <c r="I129" i="1"/>
  <c r="H129" i="1"/>
  <c r="G129" i="1"/>
  <c r="F129" i="1"/>
  <c r="E129" i="1"/>
  <c r="D129" i="1"/>
  <c r="C129" i="1"/>
  <c r="B129" i="1"/>
  <c r="A129" i="1"/>
  <c r="J130" i="1"/>
  <c r="I130" i="1"/>
  <c r="H130" i="1"/>
  <c r="G130" i="1"/>
  <c r="F130" i="1"/>
  <c r="E130" i="1"/>
  <c r="D130" i="1"/>
  <c r="C130" i="1"/>
  <c r="B130" i="1"/>
  <c r="A130" i="1"/>
  <c r="J131" i="1"/>
  <c r="I131" i="1"/>
  <c r="H131" i="1"/>
  <c r="G131" i="1"/>
  <c r="F131" i="1"/>
  <c r="E131" i="1"/>
  <c r="D131" i="1"/>
  <c r="C131" i="1"/>
  <c r="B131" i="1"/>
  <c r="A131" i="1"/>
  <c r="J132" i="1"/>
  <c r="I132" i="1"/>
  <c r="H132" i="1"/>
  <c r="G132" i="1"/>
  <c r="F132" i="1"/>
  <c r="E132" i="1"/>
  <c r="D132" i="1"/>
  <c r="C132" i="1"/>
  <c r="B132" i="1"/>
  <c r="A132" i="1"/>
  <c r="J28" i="1"/>
  <c r="I28" i="1"/>
  <c r="H28" i="1"/>
  <c r="G28" i="1"/>
  <c r="F28" i="1"/>
  <c r="E28" i="1"/>
  <c r="D28" i="1"/>
  <c r="C28" i="1"/>
  <c r="B28" i="1"/>
  <c r="A28" i="1"/>
  <c r="J27" i="1"/>
  <c r="I27" i="1"/>
  <c r="H27" i="1"/>
  <c r="G27" i="1"/>
  <c r="F27" i="1"/>
  <c r="E27" i="1"/>
  <c r="D27" i="1"/>
  <c r="C27" i="1"/>
  <c r="B27" i="1"/>
  <c r="A27" i="1"/>
  <c r="J26" i="1"/>
  <c r="I26" i="1"/>
  <c r="H26" i="1"/>
  <c r="G26" i="1"/>
  <c r="F26" i="1"/>
  <c r="E26" i="1"/>
  <c r="D26" i="1"/>
  <c r="C26" i="1"/>
  <c r="B26" i="1"/>
  <c r="A26" i="1"/>
  <c r="J25" i="1"/>
  <c r="I25" i="1"/>
  <c r="H25" i="1"/>
  <c r="G25" i="1"/>
  <c r="F25" i="1"/>
  <c r="E25" i="1"/>
  <c r="D25" i="1"/>
  <c r="C25" i="1"/>
  <c r="B25" i="1"/>
  <c r="A25" i="1"/>
  <c r="J24" i="1"/>
  <c r="I24" i="1"/>
  <c r="H24" i="1"/>
  <c r="G24" i="1"/>
  <c r="F24" i="1"/>
  <c r="E24" i="1"/>
  <c r="D24" i="1"/>
  <c r="C24" i="1"/>
  <c r="B24" i="1"/>
  <c r="A24" i="1"/>
  <c r="J23" i="1"/>
  <c r="I23" i="1"/>
  <c r="H23" i="1"/>
  <c r="G23" i="1"/>
  <c r="F23" i="1"/>
  <c r="E23" i="1"/>
  <c r="D23" i="1"/>
  <c r="C23" i="1"/>
  <c r="B23" i="1"/>
  <c r="A23" i="1"/>
  <c r="J22" i="1"/>
  <c r="I22" i="1"/>
  <c r="H22" i="1"/>
  <c r="G22" i="1"/>
  <c r="F22" i="1"/>
  <c r="E22" i="1"/>
  <c r="D22" i="1"/>
  <c r="C22" i="1"/>
  <c r="B22" i="1"/>
  <c r="A22" i="1"/>
  <c r="J21" i="1"/>
  <c r="I21" i="1"/>
  <c r="H21" i="1"/>
  <c r="G21" i="1"/>
  <c r="F21" i="1"/>
  <c r="E21" i="1"/>
  <c r="D21" i="1"/>
  <c r="C21" i="1"/>
  <c r="B21" i="1"/>
  <c r="A21" i="1"/>
  <c r="J20" i="1"/>
  <c r="I20" i="1"/>
  <c r="H20" i="1"/>
  <c r="G20" i="1"/>
  <c r="F20" i="1"/>
  <c r="E20" i="1"/>
  <c r="D20" i="1"/>
  <c r="C20" i="1"/>
  <c r="B20" i="1"/>
  <c r="A20" i="1"/>
  <c r="J19" i="1"/>
  <c r="I19" i="1"/>
  <c r="H19" i="1"/>
  <c r="G19" i="1"/>
  <c r="F19" i="1"/>
  <c r="E19" i="1"/>
  <c r="D19" i="1"/>
  <c r="C19" i="1"/>
  <c r="B19" i="1"/>
  <c r="A19" i="1"/>
  <c r="J18" i="1"/>
  <c r="I18" i="1"/>
  <c r="H18" i="1"/>
  <c r="G18" i="1"/>
  <c r="F18" i="1"/>
  <c r="E18" i="1"/>
  <c r="D18" i="1"/>
  <c r="C18" i="1"/>
  <c r="B18" i="1"/>
  <c r="A18" i="1"/>
  <c r="J17" i="1"/>
  <c r="I17" i="1"/>
  <c r="H17" i="1"/>
  <c r="G17" i="1"/>
  <c r="F17" i="1"/>
  <c r="E17" i="1"/>
  <c r="D17" i="1"/>
  <c r="C17" i="1"/>
  <c r="B17" i="1"/>
  <c r="A17" i="1"/>
  <c r="J79" i="1"/>
  <c r="I79" i="1"/>
  <c r="H79" i="1"/>
  <c r="G79" i="1"/>
  <c r="F79" i="1"/>
  <c r="E79" i="1"/>
  <c r="D79" i="1"/>
  <c r="C79" i="1"/>
  <c r="B79" i="1"/>
  <c r="A79" i="1"/>
  <c r="J78" i="1"/>
  <c r="I78" i="1"/>
  <c r="H78" i="1"/>
  <c r="G78" i="1"/>
  <c r="F78" i="1"/>
  <c r="E78" i="1"/>
  <c r="D78" i="1"/>
  <c r="C78" i="1"/>
  <c r="B78" i="1"/>
  <c r="A78" i="1"/>
  <c r="J77" i="1"/>
  <c r="I77" i="1"/>
  <c r="H77" i="1"/>
  <c r="G77" i="1"/>
  <c r="F77" i="1"/>
  <c r="E77" i="1"/>
  <c r="D77" i="1"/>
  <c r="C77" i="1"/>
  <c r="B77" i="1"/>
  <c r="A77" i="1"/>
  <c r="J76" i="1"/>
  <c r="I76" i="1"/>
  <c r="H76" i="1"/>
  <c r="G76" i="1"/>
  <c r="F76" i="1"/>
  <c r="E76" i="1"/>
  <c r="D76" i="1"/>
  <c r="C76" i="1"/>
  <c r="B76" i="1"/>
  <c r="A76" i="1"/>
  <c r="J75" i="1"/>
  <c r="I75" i="1"/>
  <c r="H75" i="1"/>
  <c r="G75" i="1"/>
  <c r="F75" i="1"/>
  <c r="E75" i="1"/>
  <c r="D75" i="1"/>
  <c r="C75" i="1"/>
  <c r="B75" i="1"/>
  <c r="A75" i="1"/>
  <c r="J74" i="1"/>
  <c r="I74" i="1"/>
  <c r="H74" i="1"/>
  <c r="G74" i="1"/>
  <c r="F74" i="1"/>
  <c r="E74" i="1"/>
  <c r="D74" i="1"/>
  <c r="C74" i="1"/>
  <c r="B74" i="1"/>
  <c r="A74" i="1"/>
  <c r="J73" i="1"/>
  <c r="I73" i="1"/>
  <c r="H73" i="1"/>
  <c r="G73" i="1"/>
  <c r="F73" i="1"/>
  <c r="E73" i="1"/>
  <c r="D73" i="1"/>
  <c r="C73" i="1"/>
  <c r="B73" i="1"/>
  <c r="A73" i="1"/>
  <c r="J72" i="1"/>
  <c r="I72" i="1"/>
  <c r="H72" i="1"/>
  <c r="G72" i="1"/>
  <c r="F72" i="1"/>
  <c r="E72" i="1"/>
  <c r="D72" i="1"/>
  <c r="C72" i="1"/>
  <c r="B72" i="1"/>
  <c r="A72" i="1"/>
  <c r="J71" i="1"/>
  <c r="I71" i="1"/>
  <c r="H71" i="1"/>
  <c r="G71" i="1"/>
  <c r="F71" i="1"/>
  <c r="E71" i="1"/>
  <c r="D71" i="1"/>
  <c r="C71" i="1"/>
  <c r="B71" i="1"/>
  <c r="A71" i="1"/>
  <c r="J70" i="1"/>
  <c r="I70" i="1"/>
  <c r="H70" i="1"/>
  <c r="G70" i="1"/>
  <c r="F70" i="1"/>
  <c r="E70" i="1"/>
  <c r="D70" i="1"/>
  <c r="C70" i="1"/>
  <c r="B70" i="1"/>
  <c r="A70" i="1"/>
  <c r="J69" i="1"/>
  <c r="I69" i="1"/>
  <c r="H69" i="1"/>
  <c r="G69" i="1"/>
  <c r="F69" i="1"/>
  <c r="E69" i="1"/>
  <c r="D69" i="1"/>
  <c r="C69" i="1"/>
  <c r="B69" i="1"/>
  <c r="A69" i="1"/>
  <c r="J68" i="1"/>
  <c r="I68" i="1"/>
  <c r="H68" i="1"/>
  <c r="G68" i="1"/>
  <c r="F68" i="1"/>
  <c r="E68" i="1"/>
  <c r="D68" i="1"/>
  <c r="C68" i="1"/>
  <c r="B68" i="1"/>
  <c r="A68" i="1"/>
  <c r="J67" i="1"/>
  <c r="I67" i="1"/>
  <c r="H67" i="1"/>
  <c r="G67" i="1"/>
  <c r="F67" i="1"/>
  <c r="E67" i="1"/>
  <c r="D67" i="1"/>
  <c r="C67" i="1"/>
  <c r="B67" i="1"/>
  <c r="A67" i="1"/>
  <c r="J66" i="1"/>
  <c r="I66" i="1"/>
  <c r="H66" i="1"/>
  <c r="G66" i="1"/>
  <c r="F66" i="1"/>
  <c r="E66" i="1"/>
  <c r="D66" i="1"/>
  <c r="C66" i="1"/>
  <c r="B66" i="1"/>
  <c r="A66" i="1"/>
  <c r="J194" i="1"/>
  <c r="I194" i="1"/>
  <c r="H194" i="1"/>
  <c r="G194" i="1"/>
  <c r="F194" i="1"/>
  <c r="E194" i="1"/>
  <c r="D194" i="1"/>
  <c r="C194" i="1"/>
  <c r="B194" i="1"/>
  <c r="A194" i="1"/>
  <c r="J193" i="1"/>
  <c r="I193" i="1"/>
  <c r="H193" i="1"/>
  <c r="G193" i="1"/>
  <c r="F193" i="1"/>
  <c r="E193" i="1"/>
  <c r="D193" i="1"/>
  <c r="C193" i="1"/>
  <c r="B193" i="1"/>
  <c r="A193" i="1"/>
  <c r="J192" i="1"/>
  <c r="I192" i="1"/>
  <c r="H192" i="1"/>
  <c r="G192" i="1"/>
  <c r="F192" i="1"/>
  <c r="E192" i="1"/>
  <c r="D192" i="1"/>
  <c r="C192" i="1"/>
  <c r="B192" i="1"/>
  <c r="A192" i="1"/>
  <c r="J191" i="1"/>
  <c r="I191" i="1"/>
  <c r="H191" i="1"/>
  <c r="G191" i="1"/>
  <c r="F191" i="1"/>
  <c r="E191" i="1"/>
  <c r="D191" i="1"/>
  <c r="C191" i="1"/>
  <c r="B191" i="1"/>
  <c r="A191" i="1"/>
  <c r="J190" i="1"/>
  <c r="I190" i="1"/>
  <c r="H190" i="1"/>
  <c r="G190" i="1"/>
  <c r="F190" i="1"/>
  <c r="E190" i="1"/>
  <c r="D190" i="1"/>
  <c r="C190" i="1"/>
  <c r="B190" i="1"/>
  <c r="A190" i="1"/>
  <c r="J189" i="1"/>
  <c r="I189" i="1"/>
  <c r="H189" i="1"/>
  <c r="G189" i="1"/>
  <c r="F189" i="1"/>
  <c r="E189" i="1"/>
  <c r="D189" i="1"/>
  <c r="C189" i="1"/>
  <c r="B189" i="1"/>
  <c r="A189" i="1"/>
  <c r="J188" i="1"/>
  <c r="I188" i="1"/>
  <c r="H188" i="1"/>
  <c r="G188" i="1"/>
  <c r="F188" i="1"/>
  <c r="E188" i="1"/>
  <c r="D188" i="1"/>
  <c r="C188" i="1"/>
  <c r="B188" i="1"/>
  <c r="A188" i="1"/>
  <c r="J187" i="1"/>
  <c r="I187" i="1"/>
  <c r="H187" i="1"/>
  <c r="G187" i="1"/>
  <c r="F187" i="1"/>
  <c r="E187" i="1"/>
  <c r="D187" i="1"/>
  <c r="C187" i="1"/>
  <c r="B187" i="1"/>
  <c r="A187" i="1"/>
  <c r="J249" i="1"/>
  <c r="I249" i="1"/>
  <c r="H249" i="1"/>
  <c r="G249" i="1"/>
  <c r="F249" i="1"/>
  <c r="E249" i="1"/>
  <c r="D249" i="1"/>
  <c r="C249" i="1"/>
  <c r="B249" i="1"/>
  <c r="A249" i="1"/>
  <c r="J248" i="1"/>
  <c r="I248" i="1"/>
  <c r="H248" i="1"/>
  <c r="G248" i="1"/>
  <c r="F248" i="1"/>
  <c r="E248" i="1"/>
  <c r="D248" i="1"/>
  <c r="C248" i="1"/>
  <c r="B248" i="1"/>
  <c r="A248" i="1"/>
  <c r="J247" i="1"/>
  <c r="I247" i="1"/>
  <c r="H247" i="1"/>
  <c r="G247" i="1"/>
  <c r="F247" i="1"/>
  <c r="E247" i="1"/>
  <c r="D247" i="1"/>
  <c r="C247" i="1"/>
  <c r="B247" i="1"/>
  <c r="A247" i="1"/>
  <c r="J246" i="1"/>
  <c r="I246" i="1"/>
  <c r="H246" i="1"/>
  <c r="G246" i="1"/>
  <c r="F246" i="1"/>
  <c r="E246" i="1"/>
  <c r="D246" i="1"/>
  <c r="C246" i="1"/>
  <c r="B246" i="1"/>
  <c r="A246" i="1"/>
  <c r="J245" i="1"/>
  <c r="I245" i="1"/>
  <c r="H245" i="1"/>
  <c r="G245" i="1"/>
  <c r="F245" i="1"/>
  <c r="E245" i="1"/>
  <c r="D245" i="1"/>
  <c r="C245" i="1"/>
  <c r="B245" i="1"/>
  <c r="A245" i="1"/>
  <c r="J244" i="1"/>
  <c r="I244" i="1"/>
  <c r="H244" i="1"/>
  <c r="G244" i="1"/>
  <c r="F244" i="1"/>
  <c r="E244" i="1"/>
  <c r="D244" i="1"/>
  <c r="C244" i="1"/>
  <c r="B244" i="1"/>
  <c r="A244" i="1"/>
  <c r="J243" i="1"/>
  <c r="I243" i="1"/>
  <c r="H243" i="1"/>
  <c r="G243" i="1"/>
  <c r="F243" i="1"/>
  <c r="E243" i="1"/>
  <c r="D243" i="1"/>
  <c r="C243" i="1"/>
  <c r="B243" i="1"/>
  <c r="A243" i="1"/>
  <c r="J242" i="1"/>
  <c r="I242" i="1"/>
  <c r="H242" i="1"/>
  <c r="G242" i="1"/>
  <c r="F242" i="1"/>
  <c r="E242" i="1"/>
  <c r="D242" i="1"/>
  <c r="C242" i="1"/>
  <c r="B242" i="1"/>
  <c r="A242" i="1"/>
  <c r="J241" i="1"/>
  <c r="I241" i="1"/>
  <c r="H241" i="1"/>
  <c r="G241" i="1"/>
  <c r="F241" i="1"/>
  <c r="E241" i="1"/>
  <c r="D241" i="1"/>
  <c r="C241" i="1"/>
  <c r="B241" i="1"/>
  <c r="A241" i="1"/>
  <c r="J240" i="1"/>
  <c r="I240" i="1"/>
  <c r="H240" i="1"/>
  <c r="G240" i="1"/>
  <c r="F240" i="1"/>
  <c r="E240" i="1"/>
  <c r="D240" i="1"/>
  <c r="C240" i="1"/>
  <c r="B240" i="1"/>
  <c r="A240" i="1"/>
  <c r="J224" i="1"/>
  <c r="I224" i="1"/>
  <c r="H224" i="1"/>
  <c r="G224" i="1"/>
  <c r="F224" i="1"/>
  <c r="E224" i="1"/>
  <c r="D224" i="1"/>
  <c r="C224" i="1"/>
  <c r="B224" i="1"/>
  <c r="A224" i="1"/>
  <c r="J223" i="1"/>
  <c r="I223" i="1"/>
  <c r="H223" i="1"/>
  <c r="G223" i="1"/>
  <c r="F223" i="1"/>
  <c r="E223" i="1"/>
  <c r="D223" i="1"/>
  <c r="C223" i="1"/>
  <c r="B223" i="1"/>
  <c r="A223" i="1"/>
  <c r="J222" i="1"/>
  <c r="I222" i="1"/>
  <c r="H222" i="1"/>
  <c r="G222" i="1"/>
  <c r="F222" i="1"/>
  <c r="E222" i="1"/>
  <c r="D222" i="1"/>
  <c r="C222" i="1"/>
  <c r="B222" i="1"/>
  <c r="A222" i="1"/>
  <c r="J163" i="1"/>
  <c r="I163" i="1"/>
  <c r="H163" i="1"/>
  <c r="G163" i="1"/>
  <c r="F163" i="1"/>
  <c r="E163" i="1"/>
  <c r="D163" i="1"/>
  <c r="C163" i="1"/>
  <c r="B163" i="1"/>
  <c r="A163" i="1"/>
  <c r="J162" i="1"/>
  <c r="I162" i="1"/>
  <c r="H162" i="1"/>
  <c r="G162" i="1"/>
  <c r="F162" i="1"/>
  <c r="E162" i="1"/>
  <c r="D162" i="1"/>
  <c r="C162" i="1"/>
  <c r="B162" i="1"/>
  <c r="A162" i="1"/>
  <c r="J161" i="1"/>
  <c r="I161" i="1"/>
  <c r="H161" i="1"/>
  <c r="G161" i="1"/>
  <c r="F161" i="1"/>
  <c r="E161" i="1"/>
  <c r="D161" i="1"/>
  <c r="C161" i="1"/>
  <c r="B161" i="1"/>
  <c r="A161" i="1"/>
  <c r="J160" i="1"/>
  <c r="I160" i="1"/>
  <c r="H160" i="1"/>
  <c r="G160" i="1"/>
  <c r="F160" i="1"/>
  <c r="E160" i="1"/>
  <c r="D160" i="1"/>
  <c r="C160" i="1"/>
  <c r="B160" i="1"/>
  <c r="A160" i="1"/>
  <c r="J159" i="1"/>
  <c r="I159" i="1"/>
  <c r="H159" i="1"/>
  <c r="G159" i="1"/>
  <c r="F159" i="1"/>
  <c r="E159" i="1"/>
  <c r="D159" i="1"/>
  <c r="C159" i="1"/>
  <c r="B159" i="1"/>
  <c r="A159" i="1"/>
  <c r="J158" i="1"/>
  <c r="I158" i="1"/>
  <c r="H158" i="1"/>
  <c r="G158" i="1"/>
  <c r="F158" i="1"/>
  <c r="E158" i="1"/>
  <c r="D158" i="1"/>
  <c r="C158" i="1"/>
  <c r="B158" i="1"/>
  <c r="A158" i="1"/>
  <c r="J14" i="1"/>
  <c r="I14" i="1"/>
  <c r="H14" i="1"/>
  <c r="G14" i="1"/>
  <c r="F14" i="1"/>
  <c r="E14" i="1"/>
  <c r="D14" i="1"/>
  <c r="C14" i="1"/>
  <c r="B14" i="1"/>
  <c r="A14" i="1"/>
  <c r="J114" i="1"/>
  <c r="I114" i="1"/>
  <c r="H114" i="1"/>
  <c r="G114" i="1"/>
  <c r="F114" i="1"/>
  <c r="E114" i="1"/>
  <c r="D114" i="1"/>
  <c r="C114" i="1"/>
  <c r="B114" i="1"/>
  <c r="A114" i="1"/>
  <c r="J113" i="1"/>
  <c r="I113" i="1"/>
  <c r="H113" i="1"/>
  <c r="G113" i="1"/>
  <c r="F113" i="1"/>
  <c r="E113" i="1"/>
  <c r="D113" i="1"/>
  <c r="C113" i="1"/>
  <c r="B113" i="1"/>
  <c r="A113" i="1"/>
  <c r="J112" i="1"/>
  <c r="I112" i="1"/>
  <c r="H112" i="1"/>
  <c r="G112" i="1"/>
  <c r="F112" i="1"/>
  <c r="E112" i="1"/>
  <c r="D112" i="1"/>
  <c r="C112" i="1"/>
  <c r="B112" i="1"/>
  <c r="A112" i="1"/>
  <c r="J111" i="1"/>
  <c r="I111" i="1"/>
  <c r="H111" i="1"/>
  <c r="G111" i="1"/>
  <c r="F111" i="1"/>
  <c r="E111" i="1"/>
  <c r="D111" i="1"/>
  <c r="C111" i="1"/>
  <c r="B111" i="1"/>
  <c r="A111" i="1"/>
  <c r="J110" i="1"/>
  <c r="I110" i="1"/>
  <c r="H110" i="1"/>
  <c r="G110" i="1"/>
  <c r="F110" i="1"/>
  <c r="E110" i="1"/>
  <c r="D110" i="1"/>
  <c r="C110" i="1"/>
  <c r="B110" i="1"/>
  <c r="A110" i="1"/>
  <c r="J109" i="1"/>
  <c r="I109" i="1"/>
  <c r="H109" i="1"/>
  <c r="G109" i="1"/>
  <c r="F109" i="1"/>
  <c r="E109" i="1"/>
  <c r="D109" i="1"/>
  <c r="C109" i="1"/>
  <c r="B109" i="1"/>
  <c r="A109" i="1"/>
  <c r="J108" i="1"/>
  <c r="I108" i="1"/>
  <c r="H108" i="1"/>
  <c r="G108" i="1"/>
  <c r="F108" i="1"/>
  <c r="E108" i="1"/>
  <c r="D108" i="1"/>
  <c r="C108" i="1"/>
  <c r="B108" i="1"/>
  <c r="A108" i="1"/>
  <c r="J202" i="1"/>
  <c r="I202" i="1"/>
  <c r="H202" i="1"/>
  <c r="G202" i="1"/>
  <c r="F202" i="1"/>
  <c r="E202" i="1"/>
  <c r="D202" i="1"/>
  <c r="C202" i="1"/>
  <c r="B202" i="1"/>
  <c r="A202" i="1"/>
  <c r="J201" i="1"/>
  <c r="I201" i="1"/>
  <c r="H201" i="1"/>
  <c r="G201" i="1"/>
  <c r="F201" i="1"/>
  <c r="E201" i="1"/>
  <c r="D201" i="1"/>
  <c r="C201" i="1"/>
  <c r="B201" i="1"/>
  <c r="A201" i="1"/>
  <c r="J200" i="1"/>
  <c r="I200" i="1"/>
  <c r="H200" i="1"/>
  <c r="G200" i="1"/>
  <c r="F200" i="1"/>
  <c r="E200" i="1"/>
  <c r="D200" i="1"/>
  <c r="C200" i="1"/>
  <c r="B200" i="1"/>
  <c r="A200" i="1"/>
  <c r="J142" i="1"/>
  <c r="I142" i="1"/>
  <c r="H142" i="1"/>
  <c r="G142" i="1"/>
  <c r="F142" i="1"/>
  <c r="E142" i="1"/>
  <c r="D142" i="1"/>
  <c r="C142" i="1"/>
  <c r="B142" i="1"/>
  <c r="A142" i="1"/>
  <c r="J143" i="1"/>
  <c r="I143" i="1"/>
  <c r="H143" i="1"/>
  <c r="G143" i="1"/>
  <c r="F143" i="1"/>
  <c r="E143" i="1"/>
  <c r="D143" i="1"/>
  <c r="C143" i="1"/>
  <c r="B143" i="1"/>
  <c r="A143" i="1"/>
  <c r="J140" i="1"/>
  <c r="I140" i="1"/>
  <c r="H140" i="1"/>
  <c r="G140" i="1"/>
  <c r="F140" i="1"/>
  <c r="E140" i="1"/>
  <c r="D140" i="1"/>
  <c r="C140" i="1"/>
  <c r="B140" i="1"/>
  <c r="A140" i="1"/>
  <c r="J139" i="1"/>
  <c r="I139" i="1"/>
  <c r="H139" i="1"/>
  <c r="G139" i="1"/>
  <c r="F139" i="1"/>
  <c r="E139" i="1"/>
  <c r="D139" i="1"/>
  <c r="C139" i="1"/>
  <c r="B139" i="1"/>
  <c r="A139" i="1"/>
  <c r="J137" i="1"/>
  <c r="I137" i="1"/>
  <c r="H137" i="1"/>
  <c r="G137" i="1"/>
  <c r="F137" i="1"/>
  <c r="E137" i="1"/>
  <c r="D137" i="1"/>
  <c r="C137" i="1"/>
  <c r="B137" i="1"/>
  <c r="A137" i="1"/>
  <c r="J141" i="1"/>
  <c r="I141" i="1"/>
  <c r="H141" i="1"/>
  <c r="G141" i="1"/>
  <c r="F141" i="1"/>
  <c r="E141" i="1"/>
  <c r="D141" i="1"/>
  <c r="C141" i="1"/>
  <c r="B141" i="1"/>
  <c r="A141" i="1"/>
  <c r="J138" i="1"/>
  <c r="I138" i="1"/>
  <c r="H138" i="1"/>
  <c r="G138" i="1"/>
  <c r="F138" i="1"/>
  <c r="E138" i="1"/>
  <c r="D138" i="1"/>
  <c r="C138" i="1"/>
  <c r="B138" i="1"/>
  <c r="A138" i="1"/>
  <c r="J135" i="1"/>
  <c r="I135" i="1"/>
  <c r="H135" i="1"/>
  <c r="G135" i="1"/>
  <c r="F135" i="1"/>
  <c r="E135" i="1"/>
  <c r="D135" i="1"/>
  <c r="C135" i="1"/>
  <c r="B135" i="1"/>
  <c r="A135" i="1"/>
  <c r="J214" i="1"/>
  <c r="I214" i="1"/>
  <c r="H214" i="1"/>
  <c r="G214" i="1"/>
  <c r="F214" i="1"/>
  <c r="E214" i="1"/>
  <c r="D214" i="1"/>
  <c r="C214" i="1"/>
  <c r="B214" i="1"/>
  <c r="A214" i="1"/>
  <c r="J211" i="1"/>
  <c r="I211" i="1"/>
  <c r="H211" i="1"/>
  <c r="G211" i="1"/>
  <c r="F211" i="1"/>
  <c r="E211" i="1"/>
  <c r="D211" i="1"/>
  <c r="C211" i="1"/>
  <c r="B211" i="1"/>
  <c r="A211" i="1"/>
  <c r="J213" i="1"/>
  <c r="I213" i="1"/>
  <c r="H213" i="1"/>
  <c r="G213" i="1"/>
  <c r="F213" i="1"/>
  <c r="E213" i="1"/>
  <c r="D213" i="1"/>
  <c r="C213" i="1"/>
  <c r="B213" i="1"/>
  <c r="A213" i="1"/>
  <c r="J215" i="1"/>
  <c r="I215" i="1"/>
  <c r="H215" i="1"/>
  <c r="G215" i="1"/>
  <c r="F215" i="1"/>
  <c r="E215" i="1"/>
  <c r="D215" i="1"/>
  <c r="C215" i="1"/>
  <c r="B215" i="1"/>
  <c r="A215" i="1"/>
  <c r="J216" i="1"/>
  <c r="I216" i="1"/>
  <c r="H216" i="1"/>
  <c r="G216" i="1"/>
  <c r="F216" i="1"/>
  <c r="E216" i="1"/>
  <c r="D216" i="1"/>
  <c r="C216" i="1"/>
  <c r="B216" i="1"/>
  <c r="A216" i="1"/>
  <c r="J212" i="1"/>
  <c r="I212" i="1"/>
  <c r="H212" i="1"/>
  <c r="G212" i="1"/>
  <c r="F212" i="1"/>
  <c r="E212" i="1"/>
  <c r="D212" i="1"/>
  <c r="C212" i="1"/>
  <c r="B212" i="1"/>
  <c r="A212" i="1"/>
  <c r="J205" i="1"/>
  <c r="I205" i="1"/>
  <c r="H205" i="1"/>
  <c r="G205" i="1"/>
  <c r="F205" i="1"/>
  <c r="E205" i="1"/>
  <c r="D205" i="1"/>
  <c r="C205" i="1"/>
  <c r="B205" i="1"/>
  <c r="A205" i="1"/>
  <c r="J204" i="1"/>
  <c r="I204" i="1"/>
  <c r="H204" i="1"/>
  <c r="G204" i="1"/>
  <c r="F204" i="1"/>
  <c r="E204" i="1"/>
  <c r="D204" i="1"/>
  <c r="C204" i="1"/>
  <c r="B204" i="1"/>
  <c r="A204" i="1"/>
  <c r="J206" i="1"/>
  <c r="I206" i="1"/>
  <c r="H206" i="1"/>
  <c r="G206" i="1"/>
  <c r="F206" i="1"/>
  <c r="E206" i="1"/>
  <c r="D206" i="1"/>
  <c r="C206" i="1"/>
  <c r="B206" i="1"/>
  <c r="A206" i="1"/>
  <c r="J207" i="1"/>
  <c r="I207" i="1"/>
  <c r="H207" i="1"/>
  <c r="G207" i="1"/>
  <c r="F207" i="1"/>
  <c r="E207" i="1"/>
  <c r="D207" i="1"/>
  <c r="C207" i="1"/>
  <c r="B207" i="1"/>
  <c r="A207" i="1"/>
  <c r="J210" i="1"/>
  <c r="I210" i="1"/>
  <c r="H210" i="1"/>
  <c r="G210" i="1"/>
  <c r="F210" i="1"/>
  <c r="E210" i="1"/>
  <c r="D210" i="1"/>
  <c r="C210" i="1"/>
  <c r="B210" i="1"/>
  <c r="A210" i="1"/>
  <c r="J209" i="1"/>
  <c r="I209" i="1"/>
  <c r="H209" i="1"/>
  <c r="G209" i="1"/>
  <c r="F209" i="1"/>
  <c r="E209" i="1"/>
  <c r="D209" i="1"/>
  <c r="C209" i="1"/>
  <c r="B209" i="1"/>
  <c r="A209" i="1"/>
  <c r="J208" i="1"/>
  <c r="I208" i="1"/>
  <c r="H208" i="1"/>
  <c r="G208" i="1"/>
  <c r="F208" i="1"/>
  <c r="E208" i="1"/>
  <c r="D208" i="1"/>
  <c r="C208" i="1"/>
  <c r="B208" i="1"/>
  <c r="A208" i="1"/>
  <c r="J95" i="1"/>
  <c r="I95" i="1"/>
  <c r="H95" i="1"/>
  <c r="G95" i="1"/>
  <c r="F95" i="1"/>
  <c r="E95" i="1"/>
  <c r="D95" i="1"/>
  <c r="C95" i="1"/>
  <c r="B95" i="1"/>
  <c r="A95" i="1"/>
  <c r="J94" i="1"/>
  <c r="I94" i="1"/>
  <c r="H94" i="1"/>
  <c r="G94" i="1"/>
  <c r="F94" i="1"/>
  <c r="E94" i="1"/>
  <c r="D94" i="1"/>
  <c r="C94" i="1"/>
  <c r="B94" i="1"/>
  <c r="A94" i="1"/>
  <c r="J93" i="1"/>
  <c r="I93" i="1"/>
  <c r="H93" i="1"/>
  <c r="G93" i="1"/>
  <c r="F93" i="1"/>
  <c r="E93" i="1"/>
  <c r="D93" i="1"/>
  <c r="C93" i="1"/>
  <c r="B93" i="1"/>
  <c r="A93" i="1"/>
  <c r="J92" i="1"/>
  <c r="I92" i="1"/>
  <c r="H92" i="1"/>
  <c r="G92" i="1"/>
  <c r="F92" i="1"/>
  <c r="E92" i="1"/>
  <c r="D92" i="1"/>
  <c r="C92" i="1"/>
  <c r="B92" i="1"/>
  <c r="A92" i="1"/>
  <c r="J91" i="1"/>
  <c r="I91" i="1"/>
  <c r="H91" i="1"/>
  <c r="G91" i="1"/>
  <c r="F91" i="1"/>
  <c r="E91" i="1"/>
  <c r="D91" i="1"/>
  <c r="C91" i="1"/>
  <c r="B91" i="1"/>
  <c r="A91" i="1"/>
  <c r="J90" i="1"/>
  <c r="I90" i="1"/>
  <c r="H90" i="1"/>
  <c r="G90" i="1"/>
  <c r="F90" i="1"/>
  <c r="E90" i="1"/>
  <c r="D90" i="1"/>
  <c r="C90" i="1"/>
  <c r="B90" i="1"/>
  <c r="A90" i="1"/>
  <c r="J52" i="1"/>
  <c r="I52" i="1"/>
  <c r="H52" i="1"/>
  <c r="G52" i="1"/>
  <c r="F52" i="1"/>
  <c r="E52" i="1"/>
  <c r="D52" i="1"/>
  <c r="C52" i="1"/>
  <c r="B52" i="1"/>
  <c r="A52" i="1"/>
  <c r="J51" i="1"/>
  <c r="I51" i="1"/>
  <c r="H51" i="1"/>
  <c r="G51" i="1"/>
  <c r="F51" i="1"/>
  <c r="E51" i="1"/>
  <c r="D51" i="1"/>
  <c r="C51" i="1"/>
  <c r="B51" i="1"/>
  <c r="A51" i="1"/>
  <c r="J50" i="1"/>
  <c r="I50" i="1"/>
  <c r="H50" i="1"/>
  <c r="G50" i="1"/>
  <c r="F50" i="1"/>
  <c r="E50" i="1"/>
  <c r="D50" i="1"/>
  <c r="C50" i="1"/>
  <c r="B50" i="1"/>
  <c r="A50" i="1"/>
  <c r="J49" i="1"/>
  <c r="I49" i="1"/>
  <c r="H49" i="1"/>
  <c r="G49" i="1"/>
  <c r="F49" i="1"/>
  <c r="E49" i="1"/>
  <c r="D49" i="1"/>
  <c r="C49" i="1"/>
  <c r="B49" i="1"/>
  <c r="A49" i="1"/>
  <c r="J48" i="1"/>
  <c r="I48" i="1"/>
  <c r="H48" i="1"/>
  <c r="G48" i="1"/>
  <c r="F48" i="1"/>
  <c r="E48" i="1"/>
  <c r="D48" i="1"/>
  <c r="C48" i="1"/>
  <c r="B48" i="1"/>
  <c r="A48" i="1"/>
  <c r="J47" i="1"/>
  <c r="I47" i="1"/>
  <c r="H47" i="1"/>
  <c r="G47" i="1"/>
  <c r="F47" i="1"/>
  <c r="E47" i="1"/>
  <c r="D47" i="1"/>
  <c r="C47" i="1"/>
  <c r="B47" i="1"/>
  <c r="A47" i="1"/>
  <c r="J46" i="1"/>
  <c r="I46" i="1"/>
  <c r="H46" i="1"/>
  <c r="G46" i="1"/>
  <c r="F46" i="1"/>
  <c r="E46" i="1"/>
  <c r="D46" i="1"/>
  <c r="C46" i="1"/>
  <c r="B46" i="1"/>
  <c r="A46" i="1"/>
  <c r="J45" i="1"/>
  <c r="I45" i="1"/>
  <c r="H45" i="1"/>
  <c r="G45" i="1"/>
  <c r="F45" i="1"/>
  <c r="E45" i="1"/>
  <c r="D45" i="1"/>
  <c r="C45" i="1"/>
  <c r="B45" i="1"/>
  <c r="A45" i="1"/>
  <c r="J239" i="1"/>
  <c r="I239" i="1"/>
  <c r="H239" i="1"/>
  <c r="G239" i="1"/>
  <c r="F239" i="1"/>
  <c r="E239" i="1"/>
  <c r="D239" i="1"/>
  <c r="C239" i="1"/>
  <c r="B239" i="1"/>
  <c r="A239" i="1"/>
  <c r="J238" i="1"/>
  <c r="I238" i="1"/>
  <c r="H238" i="1"/>
  <c r="G238" i="1"/>
  <c r="F238" i="1"/>
  <c r="E238" i="1"/>
  <c r="D238" i="1"/>
  <c r="C238" i="1"/>
  <c r="B238" i="1"/>
  <c r="A238" i="1"/>
  <c r="J237" i="1"/>
  <c r="I237" i="1"/>
  <c r="H237" i="1"/>
  <c r="G237" i="1"/>
  <c r="F237" i="1"/>
  <c r="E237" i="1"/>
  <c r="D237" i="1"/>
  <c r="C237" i="1"/>
  <c r="B237" i="1"/>
  <c r="A237" i="1"/>
  <c r="J157" i="1"/>
  <c r="I157" i="1"/>
  <c r="H157" i="1"/>
  <c r="G157" i="1"/>
  <c r="F157" i="1"/>
  <c r="E157" i="1"/>
  <c r="D157" i="1"/>
  <c r="C157" i="1"/>
  <c r="B157" i="1"/>
  <c r="A157" i="1"/>
  <c r="J156" i="1"/>
  <c r="I156" i="1"/>
  <c r="H156" i="1"/>
  <c r="G156" i="1"/>
  <c r="F156" i="1"/>
  <c r="E156" i="1"/>
  <c r="D156" i="1"/>
  <c r="C156" i="1"/>
  <c r="B156" i="1"/>
  <c r="A156" i="1"/>
  <c r="J155" i="1"/>
  <c r="I155" i="1"/>
  <c r="H155" i="1"/>
  <c r="G155" i="1"/>
  <c r="F155" i="1"/>
  <c r="E155" i="1"/>
  <c r="D155" i="1"/>
  <c r="C155" i="1"/>
  <c r="B155" i="1"/>
  <c r="A155" i="1"/>
  <c r="J154" i="1"/>
  <c r="I154" i="1"/>
  <c r="H154" i="1"/>
  <c r="G154" i="1"/>
  <c r="F154" i="1"/>
  <c r="E154" i="1"/>
  <c r="D154" i="1"/>
  <c r="C154" i="1"/>
  <c r="B154" i="1"/>
  <c r="A154" i="1"/>
  <c r="J153" i="1"/>
  <c r="I153" i="1"/>
  <c r="H153" i="1"/>
  <c r="G153" i="1"/>
  <c r="F153" i="1"/>
  <c r="E153" i="1"/>
  <c r="D153" i="1"/>
  <c r="C153" i="1"/>
  <c r="B153" i="1"/>
  <c r="A153" i="1"/>
  <c r="J152" i="1"/>
  <c r="I152" i="1"/>
  <c r="H152" i="1"/>
  <c r="G152" i="1"/>
  <c r="F152" i="1"/>
  <c r="E152" i="1"/>
  <c r="D152" i="1"/>
  <c r="C152" i="1"/>
  <c r="B152" i="1"/>
  <c r="A152" i="1"/>
  <c r="J221" i="1"/>
  <c r="I221" i="1"/>
  <c r="H221" i="1"/>
  <c r="G221" i="1"/>
  <c r="F221" i="1"/>
  <c r="E221" i="1"/>
  <c r="D221" i="1"/>
  <c r="C221" i="1"/>
  <c r="B221" i="1"/>
  <c r="A221" i="1"/>
  <c r="J220" i="1"/>
  <c r="I220" i="1"/>
  <c r="H220" i="1"/>
  <c r="G220" i="1"/>
  <c r="F220" i="1"/>
  <c r="E220" i="1"/>
  <c r="D220" i="1"/>
  <c r="C220" i="1"/>
  <c r="B220" i="1"/>
  <c r="A220" i="1"/>
  <c r="J219" i="1"/>
  <c r="I219" i="1"/>
  <c r="H219" i="1"/>
  <c r="G219" i="1"/>
  <c r="F219" i="1"/>
  <c r="E219" i="1"/>
  <c r="D219" i="1"/>
  <c r="C219" i="1"/>
  <c r="B219" i="1"/>
  <c r="A219" i="1"/>
  <c r="J180" i="1"/>
  <c r="I180" i="1"/>
  <c r="H180" i="1"/>
  <c r="G180" i="1"/>
  <c r="F180" i="1"/>
  <c r="E180" i="1"/>
  <c r="D180" i="1"/>
  <c r="C180" i="1"/>
  <c r="B180" i="1"/>
  <c r="A180" i="1"/>
  <c r="J179" i="1"/>
  <c r="I179" i="1"/>
  <c r="H179" i="1"/>
  <c r="G179" i="1"/>
  <c r="F179" i="1"/>
  <c r="E179" i="1"/>
  <c r="D179" i="1"/>
  <c r="C179" i="1"/>
  <c r="B179" i="1"/>
  <c r="A179" i="1"/>
  <c r="J178" i="1"/>
  <c r="I178" i="1"/>
  <c r="H178" i="1"/>
  <c r="G178" i="1"/>
  <c r="F178" i="1"/>
  <c r="E178" i="1"/>
  <c r="D178" i="1"/>
  <c r="C178" i="1"/>
  <c r="B178" i="1"/>
  <c r="A178" i="1"/>
  <c r="J177" i="1"/>
  <c r="I177" i="1"/>
  <c r="H177" i="1"/>
  <c r="G177" i="1"/>
  <c r="F177" i="1"/>
  <c r="E177" i="1"/>
  <c r="D177" i="1"/>
  <c r="C177" i="1"/>
  <c r="B177" i="1"/>
  <c r="A177" i="1"/>
  <c r="J176" i="1"/>
  <c r="I176" i="1"/>
  <c r="H176" i="1"/>
  <c r="G176" i="1"/>
  <c r="F176" i="1"/>
  <c r="E176" i="1"/>
  <c r="D176" i="1"/>
  <c r="C176" i="1"/>
  <c r="B176" i="1"/>
  <c r="A176" i="1"/>
  <c r="J175" i="1"/>
  <c r="I175" i="1"/>
  <c r="H175" i="1"/>
  <c r="G175" i="1"/>
  <c r="F175" i="1"/>
  <c r="E175" i="1"/>
  <c r="D175" i="1"/>
  <c r="C175" i="1"/>
  <c r="B175" i="1"/>
  <c r="A175" i="1"/>
  <c r="J174" i="1"/>
  <c r="I174" i="1"/>
  <c r="H174" i="1"/>
  <c r="G174" i="1"/>
  <c r="F174" i="1"/>
  <c r="E174" i="1"/>
  <c r="D174" i="1"/>
  <c r="C174" i="1"/>
  <c r="B174" i="1"/>
  <c r="A174" i="1"/>
</calcChain>
</file>

<file path=xl/sharedStrings.xml><?xml version="1.0" encoding="utf-8"?>
<sst xmlns="http://schemas.openxmlformats.org/spreadsheetml/2006/main" count="42" uniqueCount="42">
  <si>
    <t>Member Number</t>
  </si>
  <si>
    <t>Member Name</t>
  </si>
  <si>
    <t>Site Number</t>
  </si>
  <si>
    <t>Site Name</t>
  </si>
  <si>
    <t>Bldg Number</t>
  </si>
  <si>
    <t>Bldg Description</t>
  </si>
  <si>
    <t>Address 1</t>
  </si>
  <si>
    <t>City</t>
  </si>
  <si>
    <t>State</t>
  </si>
  <si>
    <t>ZIP</t>
  </si>
  <si>
    <t>Year Built</t>
  </si>
  <si>
    <t>Gross Square Footage</t>
  </si>
  <si>
    <t>Building Value</t>
  </si>
  <si>
    <t>Content Value</t>
  </si>
  <si>
    <t>Basement SF</t>
  </si>
  <si>
    <t>Date Of Inspection</t>
  </si>
  <si>
    <t>Row Labels</t>
  </si>
  <si>
    <t>CABRILLO ELEMENTARY SCHOOL</t>
  </si>
  <si>
    <t>CHILD CARE CENTER</t>
  </si>
  <si>
    <t>CHILD DEVELOPMENT SERVICES</t>
  </si>
  <si>
    <t>DISTRICT OFFICE</t>
  </si>
  <si>
    <t>EDISON ELEMENTARY SCHOOL</t>
  </si>
  <si>
    <t>FRANKLIN ELEMENTARY SCHOOL</t>
  </si>
  <si>
    <t>GRANT ELEMENTARY SCHOOL</t>
  </si>
  <si>
    <t>JOHN ADAMS MIDDLE SCHOOL</t>
  </si>
  <si>
    <t>JOHN MUIR ELEMENTARY/SMASH</t>
  </si>
  <si>
    <t>LEASED SITE</t>
  </si>
  <si>
    <t>LINCOLN CHILD CARE CENTER</t>
  </si>
  <si>
    <t>LINCOLN MIDDLE SCHOOL</t>
  </si>
  <si>
    <t>MALIBU HIGH SCHOOL</t>
  </si>
  <si>
    <t>MALIBU MNTC/TRANSPORTATION</t>
  </si>
  <si>
    <t>MCKINLEY ELEMENTARY SCHOOL</t>
  </si>
  <si>
    <t>OLYMPIC HIGH SCHOOL/ADULT SCHOOL</t>
  </si>
  <si>
    <t>POINT DUME ELEMENTARY SCHOOL</t>
  </si>
  <si>
    <t>ROOSEVELT ELEMENTARY SCHOOL</t>
  </si>
  <si>
    <t>SANTA MONICA HIGH SCHOOL</t>
  </si>
  <si>
    <t>TRANSPORTATION YARD</t>
  </si>
  <si>
    <t>WEBSTER ELEMENTARY SCHOOL</t>
  </si>
  <si>
    <t>WILL ROGERS ELEMENTARY SCHOOL</t>
  </si>
  <si>
    <t>Grand Total</t>
  </si>
  <si>
    <t>TIV</t>
  </si>
  <si>
    <t>Sum of 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</si>
</sst>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10" xfId="0" applyBorder="1" applyAlignment="1"/>
    <xf numFmtId="0" fontId="0" fillId="0" borderId="0" xfId="0" applyAlignment="1"/>
    <xf numFmtId="0" fontId="0" fillId="33" borderId="10" xfId="0" applyFill="1" applyBorder="1" applyAlignment="1"/>
    <xf numFmtId="0" fontId="0" fillId="33" borderId="0" xfId="0" applyFill="1" applyAlignmen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NumberFormat="1" applyFont="1"/>
    <xf numFmtId="0" fontId="0" fillId="0" borderId="11" xfId="0" applyBorder="1" applyAlignment="1"/>
    <xf numFmtId="0" fontId="0" fillId="33" borderId="11" xfId="0" applyFill="1" applyBorder="1" applyAlignment="1"/>
    <xf numFmtId="0" fontId="0" fillId="0" borderId="12" xfId="0" applyBorder="1" applyAlignment="1"/>
    <xf numFmtId="22" fontId="0" fillId="0" borderId="12" xfId="0" applyNumberFormat="1" applyBorder="1" applyAlignment="1"/>
    <xf numFmtId="0" fontId="0" fillId="33" borderId="12" xfId="0" applyFill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22" fontId="0" fillId="0" borderId="18" xfId="0" applyNumberFormat="1" applyBorder="1" applyAlignme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28">
    <dxf>
      <numFmt numFmtId="27" formatCode="m/d/yyyy\ h:mm"/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5" formatCode="_(&quot;$&quot;* #,##0.0_);_(&quot;$&quot;* \(#,##0.0\);_(&quot;$&quot;* &quot;-&quot;??_);_(@_)"/>
    </dxf>
    <dxf>
      <numFmt numFmtId="165" formatCode="_(&quot;$&quot;* #,##0.0_);_(&quot;$&quot;* \(#,##0.0\);_(&quot;$&quot;* &quot;-&quot;??_);_(@_)"/>
    </dxf>
    <dxf>
      <numFmt numFmtId="165" formatCode="_(&quot;$&quot;* #,##0.0_);_(&quot;$&quot;* \(#,##0.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tin Thakrar" refreshedDate="43636.330801157404" createdVersion="6" refreshedVersion="6" minRefreshableVersion="3" recordCount="265">
  <cacheSource type="worksheet">
    <worksheetSource ref="A1:Q266" sheet="Data"/>
  </cacheSource>
  <cacheFields count="17">
    <cacheField name="Member Number" numFmtId="0">
      <sharedItems/>
    </cacheField>
    <cacheField name="Member Name" numFmtId="0">
      <sharedItems/>
    </cacheField>
    <cacheField name="Site Number" numFmtId="0">
      <sharedItems/>
    </cacheField>
    <cacheField name="Site Name" numFmtId="0">
      <sharedItems count="22">
        <s v="CABRILLO ELEMENTARY SCHOOL"/>
        <s v="EDISON ELEMENTARY SCHOOL"/>
        <s v="FRANKLIN ELEMENTARY SCHOOL"/>
        <s v="GRANT ELEMENTARY SCHOOL"/>
        <s v="MCKINLEY ELEMENTARY SCHOOL"/>
        <s v="OLYMPIC HIGH SCHOOL/ADULT SCHOOL"/>
        <s v="WILL ROGERS ELEMENTARY SCHOOL"/>
        <s v="ROOSEVELT ELEMENTARY SCHOOL"/>
        <s v="WEBSTER ELEMENTARY SCHOOL"/>
        <s v="JOHN ADAMS MIDDLE SCHOOL"/>
        <s v="LINCOLN MIDDLE SCHOOL"/>
        <s v="LINCOLN CHILD CARE CENTER"/>
        <s v="MALIBU HIGH SCHOOL"/>
        <s v="SANTA MONICA HIGH SCHOOL"/>
        <s v="CHILD DEVELOPMENT SERVICES"/>
        <s v="CHILD CARE CENTER"/>
        <s v="DISTRICT OFFICE"/>
        <s v="TRANSPORTATION YARD"/>
        <s v="MALIBU MNTC/TRANSPORTATION"/>
        <s v="POINT DUME ELEMENTARY SCHOOL"/>
        <s v="JOHN MUIR ELEMENTARY/SMASH"/>
        <s v="LEASED SITE"/>
      </sharedItems>
    </cacheField>
    <cacheField name="Bldg Number" numFmtId="0">
      <sharedItems/>
    </cacheField>
    <cacheField name="Bldg Description" numFmtId="0">
      <sharedItems/>
    </cacheField>
    <cacheField name="Address 1" numFmtId="0">
      <sharedItems/>
    </cacheField>
    <cacheField name="City" numFmtId="0">
      <sharedItems/>
    </cacheField>
    <cacheField name="State" numFmtId="0">
      <sharedItems/>
    </cacheField>
    <cacheField name="ZIP" numFmtId="0">
      <sharedItems/>
    </cacheField>
    <cacheField name="Year Built" numFmtId="0">
      <sharedItems containsString="0" containsBlank="1" containsNumber="1" containsInteger="1" minValue="1913" maxValue="2019"/>
    </cacheField>
    <cacheField name="Gross Square Footage" numFmtId="0">
      <sharedItems containsSemiMixedTypes="0" containsString="0" containsNumber="1" containsInteger="1" minValue="0" maxValue="97000"/>
    </cacheField>
    <cacheField name="Building Value" numFmtId="0">
      <sharedItems containsSemiMixedTypes="0" containsString="0" containsNumber="1" containsInteger="1" minValue="0" maxValue="44864000"/>
    </cacheField>
    <cacheField name="Content Value" numFmtId="0">
      <sharedItems containsSemiMixedTypes="0" containsString="0" containsNumber="1" containsInteger="1" minValue="0" maxValue="2914000"/>
    </cacheField>
    <cacheField name="TIV" numFmtId="0">
      <sharedItems containsSemiMixedTypes="0" containsString="0" containsNumber="1" containsInteger="1" minValue="0" maxValue="47778000"/>
    </cacheField>
    <cacheField name="Basement SF" numFmtId="0">
      <sharedItems containsSemiMixedTypes="0" containsString="0" containsNumber="1" containsInteger="1" minValue="0" maxValue="8912"/>
    </cacheField>
    <cacheField name="Date Of Inspection" numFmtId="0">
      <sharedItems containsNonDate="0" containsDate="1" containsString="0" containsBlank="1" minDate="2015-11-15T00:00:00" maxDate="2015-11-2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5">
  <r>
    <s v="042"/>
    <s v="SANTA MONICA-MALIBU UNIFIED SCHOOL DISTRICT"/>
    <s v="001"/>
    <x v="0"/>
    <s v="005"/>
    <s v="CLASSROOM BUILDING RMS 12-15"/>
    <s v="30237 MORNING VIEW DRIVE"/>
    <s v="MALIBU"/>
    <s v="CA"/>
    <s v="90265"/>
    <n v="1958"/>
    <n v="4416"/>
    <n v="1019000"/>
    <n v="134000"/>
    <n v="1153000"/>
    <n v="0"/>
    <d v="2015-11-15T00:00:00"/>
  </r>
  <r>
    <s v="042"/>
    <s v="SANTA MONICA-MALIBU UNIFIED SCHOOL DISTRICT"/>
    <s v="001"/>
    <x v="0"/>
    <s v="004"/>
    <s v="CLASSROOM BUILDING RMS 8-11"/>
    <s v="30237 MORNING VIEW DRIVE"/>
    <s v="MALIBU"/>
    <s v="CA"/>
    <s v="90265"/>
    <n v="1957"/>
    <n v="4620"/>
    <n v="1045000"/>
    <n v="140000"/>
    <n v="1185000"/>
    <n v="0"/>
    <d v="2015-11-15T00:00:00"/>
  </r>
  <r>
    <s v="042"/>
    <s v="SANTA MONICA-MALIBU UNIFIED SCHOOL DISTRICT"/>
    <s v="001"/>
    <x v="0"/>
    <s v="003"/>
    <s v="CLASSROOM BUILDING RMS 1-5"/>
    <s v="30237 MORNING VIEW DRIVE"/>
    <s v="MALIBU"/>
    <s v="CA"/>
    <s v="90265"/>
    <n v="1955"/>
    <n v="6368"/>
    <n v="1486000"/>
    <n v="193000"/>
    <n v="1679000"/>
    <n v="0"/>
    <d v="2015-11-15T00:00:00"/>
  </r>
  <r>
    <s v="042"/>
    <s v="SANTA MONICA-MALIBU UNIFIED SCHOOL DISTRICT"/>
    <s v="001"/>
    <x v="0"/>
    <s v="007"/>
    <s v="LIBRARY BUILDING"/>
    <s v="30237 MORNING VIEW DRIVE"/>
    <s v="MALIBU"/>
    <s v="CA"/>
    <s v="90265"/>
    <n v="1965"/>
    <n v="2717"/>
    <n v="787000"/>
    <n v="245000"/>
    <n v="1032000"/>
    <n v="0"/>
    <d v="2015-11-15T00:00:00"/>
  </r>
  <r>
    <s v="042"/>
    <s v="SANTA MONICA-MALIBU UNIFIED SCHOOL DISTRICT"/>
    <s v="001"/>
    <x v="0"/>
    <s v="006"/>
    <s v="CLASSROOM BUILDING RMS 16-23"/>
    <s v="30237 MORNING VIEW DRIVE"/>
    <s v="MALIBU"/>
    <s v="CA"/>
    <s v="90265"/>
    <n v="1961"/>
    <n v="8000"/>
    <n v="2106000"/>
    <n v="242000"/>
    <n v="2348000"/>
    <n v="0"/>
    <d v="2015-11-15T00:00:00"/>
  </r>
  <r>
    <s v="042"/>
    <s v="SANTA MONICA-MALIBU UNIFIED SCHOOL DISTRICT"/>
    <s v="001"/>
    <x v="0"/>
    <s v="002"/>
    <s v="MULTIPURPOSE BUILDING"/>
    <s v="30237 MORNING VIEW DRIVE"/>
    <s v="MALIBU"/>
    <s v="CA"/>
    <s v="90265"/>
    <n v="1995"/>
    <n v="4911"/>
    <n v="1570000"/>
    <n v="154000"/>
    <n v="1724000"/>
    <n v="0"/>
    <d v="2015-11-15T00:00:00"/>
  </r>
  <r>
    <s v="042"/>
    <s v="SANTA MONICA-MALIBU UNIFIED SCHOOL DISTRICT"/>
    <s v="001"/>
    <x v="0"/>
    <s v="001"/>
    <s v="ADMINISTRATION BUILDING"/>
    <s v="30237 MORNING VIEW DRIVE"/>
    <s v="MALIBU"/>
    <s v="CA"/>
    <s v="90265"/>
    <n v="1958"/>
    <n v="2837"/>
    <n v="676000"/>
    <n v="94000"/>
    <n v="770000"/>
    <n v="0"/>
    <d v="2015-11-15T00:00:00"/>
  </r>
  <r>
    <s v="042"/>
    <s v="SANTA MONICA-MALIBU UNIFIED SCHOOL DISTRICT"/>
    <s v="001"/>
    <x v="0"/>
    <s v="098"/>
    <s v="COVERED EATING AREA"/>
    <s v="30237 MORNING VIEW DRIVE"/>
    <s v="MALIBU"/>
    <s v="CA"/>
    <s v="90265"/>
    <n v="1955"/>
    <n v="1225"/>
    <n v="24000"/>
    <n v="0"/>
    <n v="24000"/>
    <n v="0"/>
    <d v="2015-11-16T00:00:00"/>
  </r>
  <r>
    <s v="042"/>
    <s v="SANTA MONICA-MALIBU UNIFIED SCHOOL DISTRICT"/>
    <s v="001"/>
    <x v="0"/>
    <s v="099"/>
    <s v="COVERED PASSAGES"/>
    <s v="30237 MORNING VIEW DRIVE"/>
    <s v="MALIBU"/>
    <s v="CA"/>
    <s v="90265"/>
    <n v="1955"/>
    <n v="9756"/>
    <n v="280000"/>
    <n v="0"/>
    <n v="280000"/>
    <n v="0"/>
    <d v="2015-11-16T00:00:00"/>
  </r>
  <r>
    <s v="042"/>
    <s v="SANTA MONICA-MALIBU UNIFIED SCHOOL DISTRICT"/>
    <s v="001"/>
    <x v="0"/>
    <s v="901"/>
    <s v="PORTABLE CLASSROOM RM A"/>
    <s v="30237 MORNING VIEW DRIVE"/>
    <s v="MALIBU"/>
    <s v="CA"/>
    <s v="90265"/>
    <n v="1992"/>
    <n v="960"/>
    <n v="96000"/>
    <n v="21000"/>
    <n v="117000"/>
    <n v="0"/>
    <d v="2015-11-16T00:00:00"/>
  </r>
  <r>
    <s v="042"/>
    <s v="SANTA MONICA-MALIBU UNIFIED SCHOOL DISTRICT"/>
    <s v="001"/>
    <x v="0"/>
    <s v="902"/>
    <s v="PORTABLE CLASSROOM RM B"/>
    <s v="30237 MORNING VIEW DRIVE"/>
    <s v="MALIBU"/>
    <s v="CA"/>
    <s v="90265"/>
    <n v="1992"/>
    <n v="960"/>
    <n v="96000"/>
    <n v="21000"/>
    <n v="117000"/>
    <n v="0"/>
    <d v="2015-11-16T00:00:00"/>
  </r>
  <r>
    <s v="042"/>
    <s v="SANTA MONICA-MALIBU UNIFIED SCHOOL DISTRICT"/>
    <s v="001"/>
    <x v="0"/>
    <s v="903"/>
    <s v="PORTABLE CLASSROOM RM 24"/>
    <s v="30237 MORNING VIEW DRIVE"/>
    <s v="MALIBU"/>
    <s v="CA"/>
    <s v="90265"/>
    <n v="1999"/>
    <n v="960"/>
    <n v="96000"/>
    <n v="21000"/>
    <n v="117000"/>
    <n v="0"/>
    <d v="2015-11-16T00:00:00"/>
  </r>
  <r>
    <s v="042"/>
    <s v="SANTA MONICA-MALIBU UNIFIED SCHOOL DISTRICT"/>
    <s v="001"/>
    <x v="0"/>
    <s v="904"/>
    <s v="PORTABLE CLASSROOM RM 25"/>
    <s v="30237 MORNING VIEW DRIVE"/>
    <s v="MALIBU"/>
    <s v="CA"/>
    <s v="90265"/>
    <n v="1999"/>
    <n v="960"/>
    <n v="96000"/>
    <n v="21000"/>
    <n v="117000"/>
    <n v="0"/>
    <d v="2015-11-16T00:00:00"/>
  </r>
  <r>
    <s v="042"/>
    <s v="SANTA MONICA-MALIBU UNIFIED SCHOOL DISTRICT"/>
    <s v="002"/>
    <x v="1"/>
    <s v="001"/>
    <s v="ADMINISTRATION/CLASSROOM BUILDING RMS 100-205"/>
    <s v="2402 VIRGINA AVE"/>
    <s v="SANTA MONICA"/>
    <s v="CA"/>
    <s v="90404"/>
    <n v="2012"/>
    <n v="19955"/>
    <n v="6544000"/>
    <n v="604000"/>
    <n v="7148000"/>
    <n v="0"/>
    <d v="2015-11-16T00:00:00"/>
  </r>
  <r>
    <s v="042"/>
    <s v="SANTA MONICA-MALIBU UNIFIED SCHOOL DISTRICT"/>
    <s v="002"/>
    <x v="1"/>
    <s v="004"/>
    <s v="CLASSROOM BUILDING RMS 303-307"/>
    <s v="2402 VIRGINA AVE"/>
    <s v="SANTA MONICA"/>
    <s v="CA"/>
    <s v="90404"/>
    <n v="2012"/>
    <n v="1870"/>
    <n v="634000"/>
    <n v="57000"/>
    <n v="691000"/>
    <n v="0"/>
    <d v="2015-11-16T00:00:00"/>
  </r>
  <r>
    <s v="042"/>
    <s v="SANTA MONICA-MALIBU UNIFIED SCHOOL DISTRICT"/>
    <s v="002"/>
    <x v="1"/>
    <s v="002"/>
    <s v="LIBRARY/MPR/CLASSROOM RMS 308-413"/>
    <s v="2402 VIRGINA AVE"/>
    <s v="SANTA MONICA"/>
    <s v="CA"/>
    <s v="90404"/>
    <n v="2012"/>
    <n v="16378"/>
    <n v="5564000"/>
    <n v="706000"/>
    <n v="6270000"/>
    <n v="0"/>
    <d v="2015-11-16T00:00:00"/>
  </r>
  <r>
    <s v="042"/>
    <s v="SANTA MONICA-MALIBU UNIFIED SCHOOL DISTRICT"/>
    <s v="002"/>
    <x v="1"/>
    <s v="003"/>
    <s v="CLASSROOM BUILDING RMS 108-211"/>
    <s v="2402 VIRGINA AVE"/>
    <s v="SANTA MONICA"/>
    <s v="CA"/>
    <s v="90404"/>
    <n v="2012"/>
    <n v="16593"/>
    <n v="5007000"/>
    <n v="502000"/>
    <n v="5509000"/>
    <n v="0"/>
    <d v="2015-11-16T00:00:00"/>
  </r>
  <r>
    <s v="042"/>
    <s v="SANTA MONICA-MALIBU UNIFIED SCHOOL DISTRICT"/>
    <s v="002"/>
    <x v="1"/>
    <s v="005"/>
    <s v="RESTROOM BUILDING"/>
    <s v="2402 VIRGINA AVE"/>
    <s v="SANTA MONICA"/>
    <s v="CA"/>
    <s v="90404"/>
    <n v="2012"/>
    <n v="669"/>
    <n v="174000"/>
    <n v="3000"/>
    <n v="177000"/>
    <n v="0"/>
    <d v="2015-11-16T00:00:00"/>
  </r>
  <r>
    <s v="042"/>
    <s v="SANTA MONICA-MALIBU UNIFIED SCHOOL DISTRICT"/>
    <s v="002"/>
    <x v="1"/>
    <s v="006"/>
    <s v="STORAGE 3"/>
    <s v="2402 VIRGINA AVE"/>
    <s v="SANTA MONICA"/>
    <s v="CA"/>
    <s v="90404"/>
    <n v="2012"/>
    <n v="565"/>
    <n v="119000"/>
    <n v="16000"/>
    <n v="135000"/>
    <n v="0"/>
    <d v="2015-11-16T00:00:00"/>
  </r>
  <r>
    <s v="042"/>
    <s v="SANTA MONICA-MALIBU UNIFIED SCHOOL DISTRICT"/>
    <s v="002"/>
    <x v="1"/>
    <s v="007"/>
    <s v="STORAGE 4"/>
    <s v="2402 VIRGINA AVE"/>
    <s v="SANTA MONICA"/>
    <s v="CA"/>
    <s v="90404"/>
    <n v="2012"/>
    <n v="225"/>
    <n v="52000"/>
    <n v="6000"/>
    <n v="58000"/>
    <n v="0"/>
    <d v="2015-11-16T00:00:00"/>
  </r>
  <r>
    <s v="042"/>
    <s v="SANTA MONICA-MALIBU UNIFIED SCHOOL DISTRICT"/>
    <s v="003"/>
    <x v="2"/>
    <s v="008"/>
    <s v="CLASSROOM BUILDING RMS 43-45"/>
    <s v="2400 MONTANA AVENUE"/>
    <s v="SANTA MONICA"/>
    <s v="CA"/>
    <s v="90403"/>
    <n v="2002"/>
    <n v="2904"/>
    <n v="749000"/>
    <n v="88000"/>
    <n v="837000"/>
    <n v="0"/>
    <d v="2015-11-15T00:00:00"/>
  </r>
  <r>
    <s v="042"/>
    <s v="SANTA MONICA-MALIBU UNIFIED SCHOOL DISTRICT"/>
    <s v="003"/>
    <x v="2"/>
    <s v="009"/>
    <s v="PE STORAGE/RESTROOM BUILDING"/>
    <s v="2400 MONTANA AVENUE"/>
    <s v="SANTA MONICA"/>
    <s v="CA"/>
    <s v="90403"/>
    <n v="2000"/>
    <n v="414"/>
    <n v="104000"/>
    <n v="2000"/>
    <n v="106000"/>
    <n v="0"/>
    <d v="2015-11-15T00:00:00"/>
  </r>
  <r>
    <s v="042"/>
    <s v="SANTA MONICA-MALIBU UNIFIED SCHOOL DISTRICT"/>
    <s v="003"/>
    <x v="2"/>
    <s v="005"/>
    <s v="CLASSROOM BUILDING RMS 8-14"/>
    <s v="2400 MONTANA AVENUE"/>
    <s v="SANTA MONICA"/>
    <s v="CA"/>
    <s v="90403"/>
    <n v="1937"/>
    <n v="7800"/>
    <n v="2239000"/>
    <n v="236000"/>
    <n v="2475000"/>
    <n v="0"/>
    <d v="2015-11-15T00:00:00"/>
  </r>
  <r>
    <s v="042"/>
    <s v="SANTA MONICA-MALIBU UNIFIED SCHOOL DISTRICT"/>
    <s v="003"/>
    <x v="2"/>
    <s v="007"/>
    <s v="CLASSROOM BUILDING RMS 18-20"/>
    <s v="2400 MONTANA AVENUE"/>
    <s v="SANTA MONICA"/>
    <s v="CA"/>
    <s v="90403"/>
    <n v="1948"/>
    <n v="2976"/>
    <n v="940000"/>
    <n v="90000"/>
    <n v="1030000"/>
    <n v="0"/>
    <d v="2015-11-15T00:00:00"/>
  </r>
  <r>
    <s v="042"/>
    <s v="SANTA MONICA-MALIBU UNIFIED SCHOOL DISTRICT"/>
    <s v="003"/>
    <x v="2"/>
    <s v="006"/>
    <s v="CLASSROOM BUILDING RMS 15-17"/>
    <s v="2400 MONTANA AVENUE"/>
    <s v="SANTA MONICA"/>
    <s v="CA"/>
    <s v="90403"/>
    <n v="1948"/>
    <n v="3534"/>
    <n v="1105000"/>
    <n v="107000"/>
    <n v="1212000"/>
    <n v="0"/>
    <d v="2015-11-15T00:00:00"/>
  </r>
  <r>
    <s v="042"/>
    <s v="SANTA MONICA-MALIBU UNIFIED SCHOOL DISTRICT"/>
    <s v="003"/>
    <x v="2"/>
    <s v="004"/>
    <s v="LIBRARY BUILDING"/>
    <s v="2400 MONTANA AVENUE"/>
    <s v="SANTA MONICA"/>
    <s v="CA"/>
    <s v="90403"/>
    <n v="1927"/>
    <n v="2870"/>
    <n v="874000"/>
    <n v="258000"/>
    <n v="1132000"/>
    <n v="0"/>
    <d v="2015-11-15T00:00:00"/>
  </r>
  <r>
    <s v="042"/>
    <s v="SANTA MONICA-MALIBU UNIFIED SCHOOL DISTRICT"/>
    <s v="003"/>
    <x v="2"/>
    <s v="002"/>
    <s v="MULTIPURPOSE BUILDING"/>
    <s v="2400 MONTANA AVENUE"/>
    <s v="SANTA MONICA"/>
    <s v="CA"/>
    <s v="90403"/>
    <n v="1948"/>
    <n v="5576"/>
    <n v="1655000"/>
    <n v="175000"/>
    <n v="1830000"/>
    <n v="0"/>
    <d v="2015-11-15T00:00:00"/>
  </r>
  <r>
    <s v="042"/>
    <s v="SANTA MONICA-MALIBU UNIFIED SCHOOL DISTRICT"/>
    <s v="003"/>
    <x v="2"/>
    <s v="001"/>
    <s v="ADMINISTRATION/CLASSROOM BUILDING"/>
    <s v="2400 MONTANA AVENUE"/>
    <s v="SANTA MONICA"/>
    <s v="CA"/>
    <s v="90403"/>
    <n v="1927"/>
    <n v="22768"/>
    <n v="6843000"/>
    <n v="844000"/>
    <n v="7687000"/>
    <n v="5103"/>
    <d v="2015-11-15T00:00:00"/>
  </r>
  <r>
    <s v="042"/>
    <s v="SANTA MONICA-MALIBU UNIFIED SCHOOL DISTRICT"/>
    <s v="003"/>
    <x v="2"/>
    <s v="003"/>
    <s v="CLASSROOM BUILDING RMS K29-K31"/>
    <s v="2400 MONTANA AVENUE"/>
    <s v="SANTA MONICA"/>
    <s v="CA"/>
    <s v="90403"/>
    <n v="1948"/>
    <n v="3966"/>
    <n v="921000"/>
    <n v="120000"/>
    <n v="1041000"/>
    <n v="0"/>
    <d v="2015-11-15T00:00:00"/>
  </r>
  <r>
    <s v="042"/>
    <s v="SANTA MONICA-MALIBU UNIFIED SCHOOL DISTRICT"/>
    <s v="003"/>
    <x v="2"/>
    <s v="901"/>
    <s v="PORTABLE CLASSROOM RM 23"/>
    <s v="2400 MONTANA AVENUE"/>
    <s v="SANTA MONICA"/>
    <s v="CA"/>
    <s v="90403"/>
    <n v="1970"/>
    <n v="960"/>
    <n v="96000"/>
    <n v="21000"/>
    <n v="117000"/>
    <n v="0"/>
    <d v="2015-11-17T00:00:00"/>
  </r>
  <r>
    <s v="042"/>
    <s v="SANTA MONICA-MALIBU UNIFIED SCHOOL DISTRICT"/>
    <s v="003"/>
    <x v="2"/>
    <s v="902"/>
    <s v="PORTABLE CLASSROOM RM 24A"/>
    <s v="2400 MONTANA AVENUE"/>
    <s v="SANTA MONICA"/>
    <s v="CA"/>
    <s v="90403"/>
    <n v="1970"/>
    <n v="960"/>
    <n v="96000"/>
    <n v="21000"/>
    <n v="117000"/>
    <n v="0"/>
    <d v="2015-11-17T00:00:00"/>
  </r>
  <r>
    <s v="042"/>
    <s v="SANTA MONICA-MALIBU UNIFIED SCHOOL DISTRICT"/>
    <s v="003"/>
    <x v="2"/>
    <s v="903"/>
    <s v="PORTABLE CLASSROOM RM 24B"/>
    <s v="2400 MONTANA AVENUE"/>
    <s v="SANTA MONICA"/>
    <s v="CA"/>
    <s v="90403"/>
    <n v="1970"/>
    <n v="960"/>
    <n v="96000"/>
    <n v="21000"/>
    <n v="117000"/>
    <n v="0"/>
    <d v="2015-11-17T00:00:00"/>
  </r>
  <r>
    <s v="042"/>
    <s v="SANTA MONICA-MALIBU UNIFIED SCHOOL DISTRICT"/>
    <s v="003"/>
    <x v="2"/>
    <s v="904"/>
    <s v="PORTABLE CLASSROOM RM 25"/>
    <s v="2400 MONTANA AVENUE"/>
    <s v="SANTA MONICA"/>
    <s v="CA"/>
    <s v="90403"/>
    <n v="1992"/>
    <n v="960"/>
    <n v="96000"/>
    <n v="21000"/>
    <n v="117000"/>
    <n v="0"/>
    <d v="2015-11-17T00:00:00"/>
  </r>
  <r>
    <s v="042"/>
    <s v="SANTA MONICA-MALIBU UNIFIED SCHOOL DISTRICT"/>
    <s v="003"/>
    <x v="2"/>
    <s v="905"/>
    <s v="PORTABLE CLASSROOM RM 26"/>
    <s v="2400 MONTANA AVENUE"/>
    <s v="SANTA MONICA"/>
    <s v="CA"/>
    <s v="90403"/>
    <n v="1992"/>
    <n v="960"/>
    <n v="96000"/>
    <n v="21000"/>
    <n v="117000"/>
    <n v="0"/>
    <d v="2015-11-17T00:00:00"/>
  </r>
  <r>
    <s v="042"/>
    <s v="SANTA MONICA-MALIBU UNIFIED SCHOOL DISTRICT"/>
    <s v="003"/>
    <x v="2"/>
    <s v="906"/>
    <s v="PORTABLE CLASSROOM RM 27"/>
    <s v="2400 MONTANA AVENUE"/>
    <s v="SANTA MONICA"/>
    <s v="CA"/>
    <s v="90403"/>
    <n v="1992"/>
    <n v="960"/>
    <n v="96000"/>
    <n v="21000"/>
    <n v="117000"/>
    <n v="0"/>
    <d v="2015-11-17T00:00:00"/>
  </r>
  <r>
    <s v="042"/>
    <s v="SANTA MONICA-MALIBU UNIFIED SCHOOL DISTRICT"/>
    <s v="003"/>
    <x v="2"/>
    <s v="907"/>
    <s v="PORTABLE CLASSROOM RM 28"/>
    <s v="2400 MONTANA AVENUE"/>
    <s v="SANTA MONICA"/>
    <s v="CA"/>
    <s v="90403"/>
    <n v="1992"/>
    <n v="960"/>
    <n v="96000"/>
    <n v="21000"/>
    <n v="117000"/>
    <n v="0"/>
    <d v="2015-11-17T00:00:00"/>
  </r>
  <r>
    <s v="042"/>
    <s v="SANTA MONICA-MALIBU UNIFIED SCHOOL DISTRICT"/>
    <s v="003"/>
    <x v="2"/>
    <s v="908"/>
    <s v="PORTABLE CLASSROOM RM 39"/>
    <s v="2400 MONTANA AVENUE"/>
    <s v="SANTA MONICA"/>
    <s v="CA"/>
    <s v="90403"/>
    <n v="1997"/>
    <n v="960"/>
    <n v="96000"/>
    <n v="21000"/>
    <n v="117000"/>
    <n v="0"/>
    <d v="2015-11-17T00:00:00"/>
  </r>
  <r>
    <s v="042"/>
    <s v="SANTA MONICA-MALIBU UNIFIED SCHOOL DISTRICT"/>
    <s v="003"/>
    <x v="2"/>
    <s v="909"/>
    <s v="PORTABLE CLASSROOM RM 40"/>
    <s v="2400 MONTANA AVENUE"/>
    <s v="SANTA MONICA"/>
    <s v="CA"/>
    <s v="90403"/>
    <n v="1997"/>
    <n v="960"/>
    <n v="96000"/>
    <n v="21000"/>
    <n v="117000"/>
    <n v="0"/>
    <d v="2015-11-17T00:00:00"/>
  </r>
  <r>
    <s v="042"/>
    <s v="SANTA MONICA-MALIBU UNIFIED SCHOOL DISTRICT"/>
    <s v="003"/>
    <x v="2"/>
    <s v="910"/>
    <s v="PORTABLE CLASSROOM RM 41"/>
    <s v="2400 MONTANA AVENUE"/>
    <s v="SANTA MONICA"/>
    <s v="CA"/>
    <s v="90403"/>
    <n v="1997"/>
    <n v="960"/>
    <n v="96000"/>
    <n v="21000"/>
    <n v="117000"/>
    <n v="0"/>
    <d v="2015-11-17T00:00:00"/>
  </r>
  <r>
    <s v="042"/>
    <s v="SANTA MONICA-MALIBU UNIFIED SCHOOL DISTRICT"/>
    <s v="003"/>
    <x v="2"/>
    <s v="911"/>
    <s v="PORTABLE CLASSROOM RM 42"/>
    <s v="2400 MONTANA AVENUE"/>
    <s v="SANTA MONICA"/>
    <s v="CA"/>
    <s v="90403"/>
    <n v="1997"/>
    <n v="1920"/>
    <n v="192000"/>
    <n v="42000"/>
    <n v="234000"/>
    <n v="0"/>
    <d v="2015-11-17T00:00:00"/>
  </r>
  <r>
    <s v="042"/>
    <s v="SANTA MONICA-MALIBU UNIFIED SCHOOL DISTRICT"/>
    <s v="003"/>
    <x v="2"/>
    <s v="099"/>
    <s v="COVERED PASSAGES"/>
    <s v="2400 MONTANA AVENUE"/>
    <s v="SANTA MONICA"/>
    <s v="CA"/>
    <s v="90403"/>
    <n v="1943"/>
    <n v="6750"/>
    <n v="194000"/>
    <n v="0"/>
    <n v="194000"/>
    <n v="0"/>
    <d v="2015-11-17T00:00:00"/>
  </r>
  <r>
    <s v="042"/>
    <s v="SANTA MONICA-MALIBU UNIFIED SCHOOL DISTRICT"/>
    <s v="004"/>
    <x v="3"/>
    <s v="002"/>
    <s v="MULTIPURPOSE/CLASSROOM BUILDING"/>
    <s v="2368 PEARL STREET"/>
    <s v="SANTA MONICA"/>
    <s v="CA"/>
    <s v="90405"/>
    <n v="1936"/>
    <n v="14301"/>
    <n v="3723000"/>
    <n v="450000"/>
    <n v="4173000"/>
    <n v="0"/>
    <d v="2015-11-18T00:00:00"/>
  </r>
  <r>
    <s v="042"/>
    <s v="SANTA MONICA-MALIBU UNIFIED SCHOOL DISTRICT"/>
    <s v="004"/>
    <x v="3"/>
    <s v="009"/>
    <s v="LIBRARY/CLASSROOM BUILDING"/>
    <s v="2368 PEARL STREET"/>
    <s v="SANTA MONICA"/>
    <s v="CA"/>
    <s v="90405"/>
    <n v="1940"/>
    <n v="6171"/>
    <n v="1630000"/>
    <n v="555000"/>
    <n v="2185000"/>
    <n v="0"/>
    <d v="2015-11-18T00:00:00"/>
  </r>
  <r>
    <s v="042"/>
    <s v="SANTA MONICA-MALIBU UNIFIED SCHOOL DISTRICT"/>
    <s v="004"/>
    <x v="3"/>
    <s v="003"/>
    <s v="AUDITORIUM BUILDING"/>
    <s v="2368 PEARL STREET"/>
    <s v="SANTA MONICA"/>
    <s v="CA"/>
    <s v="90405"/>
    <n v="1945"/>
    <n v="4252"/>
    <n v="1562000"/>
    <n v="62000"/>
    <n v="1624000"/>
    <n v="0"/>
    <d v="2015-11-18T00:00:00"/>
  </r>
  <r>
    <s v="042"/>
    <s v="SANTA MONICA-MALIBU UNIFIED SCHOOL DISTRICT"/>
    <s v="004"/>
    <x v="3"/>
    <s v="005"/>
    <s v="CLASSROOM BUILDING RMS 2-5"/>
    <s v="2368 PEARL STREET"/>
    <s v="SANTA MONICA"/>
    <s v="CA"/>
    <s v="90405"/>
    <n v="1940"/>
    <n v="4440"/>
    <n v="1331000"/>
    <n v="134000"/>
    <n v="1465000"/>
    <n v="0"/>
    <d v="2015-11-18T00:00:00"/>
  </r>
  <r>
    <s v="042"/>
    <s v="SANTA MONICA-MALIBU UNIFIED SCHOOL DISTRICT"/>
    <s v="004"/>
    <x v="3"/>
    <s v="006"/>
    <s v="CLASSROOM BUILDING RMS 11-13"/>
    <s v="2368 PEARL STREET"/>
    <s v="SANTA MONICA"/>
    <s v="CA"/>
    <s v="90405"/>
    <n v="1940"/>
    <n v="3525"/>
    <n v="1130000"/>
    <n v="107000"/>
    <n v="1237000"/>
    <n v="0"/>
    <d v="2015-11-18T00:00:00"/>
  </r>
  <r>
    <s v="042"/>
    <s v="SANTA MONICA-MALIBU UNIFIED SCHOOL DISTRICT"/>
    <s v="004"/>
    <x v="3"/>
    <s v="001"/>
    <s v="ADMINISTRATION BUILDING"/>
    <s v="2368 PEARL STREET"/>
    <s v="SANTA MONICA"/>
    <s v="CA"/>
    <s v="90405"/>
    <n v="1936"/>
    <n v="5968"/>
    <n v="1481000"/>
    <n v="197000"/>
    <n v="1678000"/>
    <n v="0"/>
    <d v="2015-11-18T00:00:00"/>
  </r>
  <r>
    <s v="042"/>
    <s v="SANTA MONICA-MALIBU UNIFIED SCHOOL DISTRICT"/>
    <s v="004"/>
    <x v="3"/>
    <s v="004"/>
    <s v="CLASSROOM BUILDING RMS 26-29"/>
    <s v="2368 PEARL STREET"/>
    <s v="SANTA MONICA"/>
    <s v="CA"/>
    <s v="90405"/>
    <n v="1940"/>
    <n v="5335"/>
    <n v="1586000"/>
    <n v="161000"/>
    <n v="1747000"/>
    <n v="0"/>
    <d v="2015-11-18T00:00:00"/>
  </r>
  <r>
    <s v="042"/>
    <s v="SANTA MONICA-MALIBU UNIFIED SCHOOL DISTRICT"/>
    <s v="004"/>
    <x v="3"/>
    <s v="008"/>
    <s v="CLASSROOM BUILDING RMS 37-40"/>
    <s v="2368 PEARL STREET"/>
    <s v="SANTA MONICA"/>
    <s v="CA"/>
    <s v="90405"/>
    <n v="1940"/>
    <n v="4400"/>
    <n v="1093000"/>
    <n v="133000"/>
    <n v="1226000"/>
    <n v="0"/>
    <d v="2015-11-18T00:00:00"/>
  </r>
  <r>
    <s v="042"/>
    <s v="SANTA MONICA-MALIBU UNIFIED SCHOOL DISTRICT"/>
    <s v="004"/>
    <x v="3"/>
    <s v="007"/>
    <s v="CLASSROOM BUILDING RMS 30-31"/>
    <s v="2368 PEARL STREET"/>
    <s v="SANTA MONICA"/>
    <s v="CA"/>
    <s v="90405"/>
    <n v="1940"/>
    <n v="1880"/>
    <n v="485000"/>
    <n v="57000"/>
    <n v="542000"/>
    <n v="0"/>
    <d v="2015-11-18T00:00:00"/>
  </r>
  <r>
    <s v="042"/>
    <s v="SANTA MONICA-MALIBU UNIFIED SCHOOL DISTRICT"/>
    <s v="004"/>
    <x v="3"/>
    <s v="010"/>
    <s v="RESTROOM BUILDING #1"/>
    <s v="2368 PEARL STREET"/>
    <s v="SANTA MONICA"/>
    <s v="CA"/>
    <s v="90405"/>
    <n v="1940"/>
    <n v="896"/>
    <n v="260000"/>
    <n v="4000"/>
    <n v="264000"/>
    <n v="0"/>
    <d v="2015-11-18T00:00:00"/>
  </r>
  <r>
    <s v="042"/>
    <s v="SANTA MONICA-MALIBU UNIFIED SCHOOL DISTRICT"/>
    <s v="004"/>
    <x v="3"/>
    <s v="011"/>
    <s v="RESTROOM BUILDING #2"/>
    <s v="2368 PEARL STREET"/>
    <s v="SANTA MONICA"/>
    <s v="CA"/>
    <s v="90405"/>
    <n v="1940"/>
    <n v="860"/>
    <n v="254000"/>
    <n v="4000"/>
    <n v="258000"/>
    <n v="0"/>
    <d v="2015-11-18T00:00:00"/>
  </r>
  <r>
    <s v="042"/>
    <s v="SANTA MONICA-MALIBU UNIFIED SCHOOL DISTRICT"/>
    <s v="004"/>
    <x v="3"/>
    <s v="012"/>
    <s v="PE STORAGE/RESTROOM BUILDING"/>
    <s v="2368 PEARL STREET"/>
    <s v="SANTA MONICA"/>
    <s v="CA"/>
    <s v="90405"/>
    <n v="2000"/>
    <n v="414"/>
    <n v="102000"/>
    <n v="2000"/>
    <n v="104000"/>
    <n v="0"/>
    <d v="2015-11-18T00:00:00"/>
  </r>
  <r>
    <s v="042"/>
    <s v="SANTA MONICA-MALIBU UNIFIED SCHOOL DISTRICT"/>
    <s v="004"/>
    <x v="3"/>
    <s v="098A"/>
    <s v="COVERED EATING AREA A"/>
    <s v="2368 PEARL STREET"/>
    <s v="SANTA MONICA"/>
    <s v="CA"/>
    <s v="90405"/>
    <n v="2007"/>
    <n v="324"/>
    <n v="6000"/>
    <n v="0"/>
    <n v="6000"/>
    <n v="0"/>
    <d v="2015-11-18T00:00:00"/>
  </r>
  <r>
    <s v="042"/>
    <s v="SANTA MONICA-MALIBU UNIFIED SCHOOL DISTRICT"/>
    <s v="004"/>
    <x v="3"/>
    <s v="098B"/>
    <s v="COVERED EATING AREA B"/>
    <s v="2368 PEARL STREET"/>
    <s v="SANTA MONICA"/>
    <s v="CA"/>
    <s v="90405"/>
    <n v="2007"/>
    <n v="324"/>
    <n v="6000"/>
    <n v="0"/>
    <n v="6000"/>
    <n v="0"/>
    <d v="2015-11-18T00:00:00"/>
  </r>
  <r>
    <s v="042"/>
    <s v="SANTA MONICA-MALIBU UNIFIED SCHOOL DISTRICT"/>
    <s v="004"/>
    <x v="3"/>
    <s v="098C"/>
    <s v="COVERED EATING AREA C"/>
    <s v="2368 PEARL STREET"/>
    <s v="SANTA MONICA"/>
    <s v="CA"/>
    <s v="90405"/>
    <n v="2007"/>
    <n v="324"/>
    <n v="6000"/>
    <n v="0"/>
    <n v="6000"/>
    <n v="0"/>
    <d v="2015-11-18T00:00:00"/>
  </r>
  <r>
    <s v="042"/>
    <s v="SANTA MONICA-MALIBU UNIFIED SCHOOL DISTRICT"/>
    <s v="004"/>
    <x v="3"/>
    <s v="098D"/>
    <s v="COVERED EATING AREA D"/>
    <s v="2368 PEARL STREET"/>
    <s v="SANTA MONICA"/>
    <s v="CA"/>
    <s v="90405"/>
    <n v="2007"/>
    <n v="324"/>
    <n v="6000"/>
    <n v="0"/>
    <n v="6000"/>
    <n v="0"/>
    <d v="2015-11-18T00:00:00"/>
  </r>
  <r>
    <s v="042"/>
    <s v="SANTA MONICA-MALIBU UNIFIED SCHOOL DISTRICT"/>
    <s v="004"/>
    <x v="3"/>
    <s v="098E"/>
    <s v="COVERED EATING AREA E"/>
    <s v="2368 PEARL STREET"/>
    <s v="SANTA MONICA"/>
    <s v="CA"/>
    <s v="90405"/>
    <n v="2007"/>
    <n v="324"/>
    <n v="6000"/>
    <n v="0"/>
    <n v="6000"/>
    <n v="0"/>
    <d v="2015-11-18T00:00:00"/>
  </r>
  <r>
    <s v="042"/>
    <s v="SANTA MONICA-MALIBU UNIFIED SCHOOL DISTRICT"/>
    <s v="004"/>
    <x v="3"/>
    <s v="099"/>
    <s v="COVERED PASSAGES"/>
    <s v="2368 PEARL STREET"/>
    <s v="SANTA MONICA"/>
    <s v="CA"/>
    <s v="90405"/>
    <n v="1940"/>
    <n v="3892"/>
    <n v="121000"/>
    <n v="0"/>
    <n v="121000"/>
    <n v="0"/>
    <d v="2015-11-18T00:00:00"/>
  </r>
  <r>
    <s v="042"/>
    <s v="SANTA MONICA-MALIBU UNIFIED SCHOOL DISTRICT"/>
    <s v="004"/>
    <x v="3"/>
    <s v="901"/>
    <s v="PORTABLE CLASSROOM BUILDING RM 70"/>
    <s v="2368 PEARL STREET"/>
    <s v="SANTA MONICA"/>
    <s v="CA"/>
    <s v="90405"/>
    <n v="1992"/>
    <n v="960"/>
    <n v="96000"/>
    <n v="21000"/>
    <n v="117000"/>
    <n v="0"/>
    <d v="2015-11-18T00:00:00"/>
  </r>
  <r>
    <s v="042"/>
    <s v="SANTA MONICA-MALIBU UNIFIED SCHOOL DISTRICT"/>
    <s v="004"/>
    <x v="3"/>
    <s v="902"/>
    <s v="PORTABLE CLASSROOM BUILDING RM 71"/>
    <s v="2368 PEARL STREET"/>
    <s v="SANTA MONICA"/>
    <s v="CA"/>
    <s v="90405"/>
    <n v="1992"/>
    <n v="960"/>
    <n v="96000"/>
    <n v="21000"/>
    <n v="117000"/>
    <n v="0"/>
    <d v="2015-11-18T00:00:00"/>
  </r>
  <r>
    <s v="042"/>
    <s v="SANTA MONICA-MALIBU UNIFIED SCHOOL DISTRICT"/>
    <s v="004"/>
    <x v="3"/>
    <s v="903"/>
    <s v="PORTABLE CLASSROOM BUILDING RM 72"/>
    <s v="2368 PEARL STREET"/>
    <s v="SANTA MONICA"/>
    <s v="CA"/>
    <s v="90405"/>
    <n v="1992"/>
    <n v="960"/>
    <n v="96000"/>
    <n v="21000"/>
    <n v="117000"/>
    <n v="0"/>
    <d v="2015-11-18T00:00:00"/>
  </r>
  <r>
    <s v="042"/>
    <s v="SANTA MONICA-MALIBU UNIFIED SCHOOL DISTRICT"/>
    <s v="004"/>
    <x v="3"/>
    <s v="904"/>
    <s v="PORTABLE CLASSROOM BUILDING RM 73"/>
    <s v="2368 PEARL STREET"/>
    <s v="SANTA MONICA"/>
    <s v="CA"/>
    <s v="90405"/>
    <n v="1997"/>
    <n v="960"/>
    <n v="96000"/>
    <n v="21000"/>
    <n v="117000"/>
    <n v="0"/>
    <d v="2015-11-18T00:00:00"/>
  </r>
  <r>
    <s v="042"/>
    <s v="SANTA MONICA-MALIBU UNIFIED SCHOOL DISTRICT"/>
    <s v="004"/>
    <x v="3"/>
    <s v="905"/>
    <s v="PORTABLE CLASSROOM BUILDING RM 74"/>
    <s v="2368 PEARL STREET"/>
    <s v="SANTA MONICA"/>
    <s v="CA"/>
    <s v="90405"/>
    <n v="1997"/>
    <n v="960"/>
    <n v="96000"/>
    <n v="21000"/>
    <n v="117000"/>
    <n v="0"/>
    <d v="2015-11-18T00:00:00"/>
  </r>
  <r>
    <s v="042"/>
    <s v="SANTA MONICA-MALIBU UNIFIED SCHOOL DISTRICT"/>
    <s v="004"/>
    <x v="3"/>
    <s v="906"/>
    <s v="PORTABLE CLASSROOM BUILDING RM 75"/>
    <s v="2368 PEARL STREET"/>
    <s v="SANTA MONICA"/>
    <s v="CA"/>
    <s v="90405"/>
    <n v="1997"/>
    <n v="960"/>
    <n v="96000"/>
    <n v="21000"/>
    <n v="117000"/>
    <n v="0"/>
    <d v="2015-11-18T00:00:00"/>
  </r>
  <r>
    <s v="042"/>
    <s v="SANTA MONICA-MALIBU UNIFIED SCHOOL DISTRICT"/>
    <s v="004"/>
    <x v="3"/>
    <s v="907"/>
    <s v="PORTABLE CLASSROOM BUILDING RM 80"/>
    <s v="2368 PEARL STREET"/>
    <s v="SANTA MONICA"/>
    <s v="CA"/>
    <s v="90405"/>
    <n v="1999"/>
    <n v="960"/>
    <n v="96000"/>
    <n v="21000"/>
    <n v="117000"/>
    <n v="0"/>
    <d v="2015-11-18T00:00:00"/>
  </r>
  <r>
    <s v="042"/>
    <s v="SANTA MONICA-MALIBU UNIFIED SCHOOL DISTRICT"/>
    <s v="004"/>
    <x v="3"/>
    <s v="908"/>
    <s v="PORTABLE CLASSROOM BUILDING RM 81"/>
    <s v="2368 PEARL STREET"/>
    <s v="SANTA MONICA"/>
    <s v="CA"/>
    <s v="90405"/>
    <n v="1999"/>
    <n v="960"/>
    <n v="96000"/>
    <n v="21000"/>
    <n v="117000"/>
    <n v="0"/>
    <d v="2015-11-18T00:00:00"/>
  </r>
  <r>
    <s v="042"/>
    <s v="SANTA MONICA-MALIBU UNIFIED SCHOOL DISTRICT"/>
    <s v="004"/>
    <x v="3"/>
    <s v="909"/>
    <s v="PORTABLE CLASSROOM BUILDING RM 82"/>
    <s v="2368 PEARL STREET"/>
    <s v="SANTA MONICA"/>
    <s v="CA"/>
    <s v="90405"/>
    <n v="1999"/>
    <n v="960"/>
    <n v="96000"/>
    <n v="21000"/>
    <n v="117000"/>
    <n v="0"/>
    <d v="2015-11-18T00:00:00"/>
  </r>
  <r>
    <s v="042"/>
    <s v="SANTA MONICA-MALIBU UNIFIED SCHOOL DISTRICT"/>
    <s v="004"/>
    <x v="3"/>
    <s v="910"/>
    <s v="PORTABLE CLASSROOM BUILDING RM 83"/>
    <s v="2368 PEARL STREET"/>
    <s v="SANTA MONICA"/>
    <s v="CA"/>
    <s v="90405"/>
    <n v="1999"/>
    <n v="960"/>
    <n v="96000"/>
    <n v="21000"/>
    <n v="117000"/>
    <n v="0"/>
    <d v="2015-11-18T00:00:00"/>
  </r>
  <r>
    <s v="042"/>
    <s v="SANTA MONICA-MALIBU UNIFIED SCHOOL DISTRICT"/>
    <s v="005"/>
    <x v="4"/>
    <s v="001"/>
    <s v="ADMINISTRATION/CLASSROOM BUILDING"/>
    <s v="2401 SANTA MONICA BOULEVARD"/>
    <s v="SANTA MONICA"/>
    <s v="CA"/>
    <s v="90404"/>
    <n v="1923"/>
    <n v="30497"/>
    <n v="7846000"/>
    <n v="962000"/>
    <n v="8808000"/>
    <n v="1280"/>
    <d v="2015-11-15T00:00:00"/>
  </r>
  <r>
    <s v="042"/>
    <s v="SANTA MONICA-MALIBU UNIFIED SCHOOL DISTRICT"/>
    <s v="005"/>
    <x v="4"/>
    <s v="002"/>
    <s v="CAFETERIA BUILDING"/>
    <s v="2401 SANTA MONICA BOULEVARD"/>
    <s v="SANTA MONICA"/>
    <s v="CA"/>
    <s v="90404"/>
    <n v="1923"/>
    <n v="4680"/>
    <n v="1357000"/>
    <n v="147000"/>
    <n v="1504000"/>
    <n v="0"/>
    <d v="2015-11-15T00:00:00"/>
  </r>
  <r>
    <s v="042"/>
    <s v="SANTA MONICA-MALIBU UNIFIED SCHOOL DISTRICT"/>
    <s v="005"/>
    <x v="4"/>
    <s v="004"/>
    <s v="CLASSROOM BUILDING RMS 107-210"/>
    <s v="2401 SANTA MONICA BOULEVARD"/>
    <s v="SANTA MONICA"/>
    <s v="CA"/>
    <s v="90404"/>
    <n v="1923"/>
    <n v="13320"/>
    <n v="3346000"/>
    <n v="452000"/>
    <n v="3798000"/>
    <n v="1598"/>
    <d v="2015-11-15T00:00:00"/>
  </r>
  <r>
    <s v="042"/>
    <s v="SANTA MONICA-MALIBU UNIFIED SCHOOL DISTRICT"/>
    <s v="005"/>
    <x v="4"/>
    <s v="005"/>
    <s v="CLASSROOM BUILDING RMS B10-B11"/>
    <s v="2401 SANTA MONICA BOULEVARD"/>
    <s v="SANTA MONICA"/>
    <s v="CA"/>
    <s v="90404"/>
    <n v="2000"/>
    <n v="1920"/>
    <n v="341000"/>
    <n v="58000"/>
    <n v="399000"/>
    <n v="0"/>
    <d v="2015-11-15T00:00:00"/>
  </r>
  <r>
    <s v="042"/>
    <s v="SANTA MONICA-MALIBU UNIFIED SCHOOL DISTRICT"/>
    <s v="005"/>
    <x v="4"/>
    <s v="006"/>
    <s v="PE STORAGE/RESTROOM BUILDING"/>
    <s v="2401 SANTA MONICA BOULEVARD"/>
    <s v="SANTA MONICA"/>
    <s v="CA"/>
    <s v="90404"/>
    <n v="2000"/>
    <n v="554"/>
    <n v="130000"/>
    <n v="3000"/>
    <n v="133000"/>
    <n v="0"/>
    <d v="2015-11-15T00:00:00"/>
  </r>
  <r>
    <s v="042"/>
    <s v="SANTA MONICA-MALIBU UNIFIED SCHOOL DISTRICT"/>
    <s v="005"/>
    <x v="4"/>
    <s v="003"/>
    <s v="CHILDCARE PRESCHOOL BUILDING"/>
    <s v="2401 SANTA MONICA BOULEVARD"/>
    <s v="SANTA MONICA"/>
    <s v="CA"/>
    <s v="90404"/>
    <n v="1923"/>
    <n v="3520"/>
    <n v="1030000"/>
    <n v="107000"/>
    <n v="1137000"/>
    <n v="0"/>
    <d v="2015-11-15T00:00:00"/>
  </r>
  <r>
    <s v="042"/>
    <s v="SANTA MONICA-MALIBU UNIFIED SCHOOL DISTRICT"/>
    <s v="005"/>
    <x v="4"/>
    <s v="098"/>
    <s v="COVERED PLAY AREA"/>
    <s v="2401 SANTA MONICA BOULEVARD"/>
    <s v="SANTA MONICA"/>
    <s v="CA"/>
    <s v="90404"/>
    <n v="1945"/>
    <n v="400"/>
    <n v="8000"/>
    <n v="0"/>
    <n v="8000"/>
    <n v="0"/>
    <d v="2015-11-17T00:00:00"/>
  </r>
  <r>
    <s v="042"/>
    <s v="SANTA MONICA-MALIBU UNIFIED SCHOOL DISTRICT"/>
    <s v="005"/>
    <x v="4"/>
    <s v="098A"/>
    <s v="COVERED EATING AREA"/>
    <s v="2401 SANTA MONICA BOULEVARD"/>
    <s v="SANTA MONICA"/>
    <s v="CA"/>
    <s v="90404"/>
    <n v="1945"/>
    <n v="1440"/>
    <n v="29000"/>
    <n v="0"/>
    <n v="29000"/>
    <n v="0"/>
    <d v="2015-11-17T00:00:00"/>
  </r>
  <r>
    <s v="042"/>
    <s v="SANTA MONICA-MALIBU UNIFIED SCHOOL DISTRICT"/>
    <s v="005"/>
    <x v="4"/>
    <s v="099"/>
    <s v="COVERED PASSAGES"/>
    <s v="2401 SANTA MONICA BOULEVARD"/>
    <s v="SANTA MONICA"/>
    <s v="CA"/>
    <s v="90404"/>
    <n v="1945"/>
    <n v="3520"/>
    <n v="101000"/>
    <n v="0"/>
    <n v="101000"/>
    <n v="0"/>
    <d v="2015-11-17T00:00:00"/>
  </r>
  <r>
    <s v="042"/>
    <s v="SANTA MONICA-MALIBU UNIFIED SCHOOL DISTRICT"/>
    <s v="005"/>
    <x v="4"/>
    <s v="901"/>
    <s v="PORTABLE CLASSROOM RM B1"/>
    <s v="2401 SANTA MONICA BOULEVARD"/>
    <s v="SANTA MONICA"/>
    <s v="CA"/>
    <s v="90404"/>
    <n v="1992"/>
    <n v="960"/>
    <n v="96000"/>
    <n v="21000"/>
    <n v="117000"/>
    <n v="0"/>
    <d v="2015-11-17T00:00:00"/>
  </r>
  <r>
    <s v="042"/>
    <s v="SANTA MONICA-MALIBU UNIFIED SCHOOL DISTRICT"/>
    <s v="005"/>
    <x v="4"/>
    <s v="902"/>
    <s v="PORTABLE CLASSROOM RM B2"/>
    <s v="2401 SANTA MONICA BOULEVARD"/>
    <s v="SANTA MONICA"/>
    <s v="CA"/>
    <s v="90404"/>
    <n v="1992"/>
    <n v="960"/>
    <n v="96000"/>
    <n v="21000"/>
    <n v="117000"/>
    <n v="0"/>
    <d v="2015-11-17T00:00:00"/>
  </r>
  <r>
    <s v="042"/>
    <s v="SANTA MONICA-MALIBU UNIFIED SCHOOL DISTRICT"/>
    <s v="005"/>
    <x v="4"/>
    <s v="903"/>
    <s v="PORTABLE CLASSROOM RM B3"/>
    <s v="2401 SANTA MONICA BOULEVARD"/>
    <s v="SANTA MONICA"/>
    <s v="CA"/>
    <s v="90404"/>
    <n v="1992"/>
    <n v="960"/>
    <n v="96000"/>
    <n v="21000"/>
    <n v="117000"/>
    <n v="0"/>
    <d v="2015-11-17T00:00:00"/>
  </r>
  <r>
    <s v="042"/>
    <s v="SANTA MONICA-MALIBU UNIFIED SCHOOL DISTRICT"/>
    <s v="005"/>
    <x v="4"/>
    <s v="904"/>
    <s v="PORTABLE CLASSROOM RM B4"/>
    <s v="2401 SANTA MONICA BOULEVARD"/>
    <s v="SANTA MONICA"/>
    <s v="CA"/>
    <s v="90404"/>
    <n v="1992"/>
    <n v="960"/>
    <n v="96000"/>
    <n v="21000"/>
    <n v="117000"/>
    <n v="0"/>
    <d v="2015-11-17T00:00:00"/>
  </r>
  <r>
    <s v="042"/>
    <s v="SANTA MONICA-MALIBU UNIFIED SCHOOL DISTRICT"/>
    <s v="005"/>
    <x v="4"/>
    <s v="905"/>
    <s v="PORTABLE CLASSROOM RM B5"/>
    <s v="2401 SANTA MONICA BOULEVARD"/>
    <s v="SANTA MONICA"/>
    <s v="CA"/>
    <s v="90404"/>
    <n v="1992"/>
    <n v="960"/>
    <n v="96000"/>
    <n v="21000"/>
    <n v="117000"/>
    <n v="0"/>
    <d v="2015-11-17T00:00:00"/>
  </r>
  <r>
    <s v="042"/>
    <s v="SANTA MONICA-MALIBU UNIFIED SCHOOL DISTRICT"/>
    <s v="005"/>
    <x v="4"/>
    <s v="906"/>
    <s v="PORTABLE CLASSROOM RM B6"/>
    <s v="2401 SANTA MONICA BOULEVARD"/>
    <s v="SANTA MONICA"/>
    <s v="CA"/>
    <s v="90404"/>
    <n v="1992"/>
    <n v="960"/>
    <n v="96000"/>
    <n v="21000"/>
    <n v="117000"/>
    <n v="0"/>
    <d v="2015-11-17T00:00:00"/>
  </r>
  <r>
    <s v="042"/>
    <s v="SANTA MONICA-MALIBU UNIFIED SCHOOL DISTRICT"/>
    <s v="005"/>
    <x v="4"/>
    <s v="907"/>
    <s v="PORTABLE CLASSROOM RM B7"/>
    <s v="2401 SANTA MONICA BOULEVARD"/>
    <s v="SANTA MONICA"/>
    <s v="CA"/>
    <s v="90404"/>
    <n v="1992"/>
    <n v="960"/>
    <n v="96000"/>
    <n v="21000"/>
    <n v="117000"/>
    <n v="0"/>
    <d v="2015-11-17T00:00:00"/>
  </r>
  <r>
    <s v="042"/>
    <s v="SANTA MONICA-MALIBU UNIFIED SCHOOL DISTRICT"/>
    <s v="005"/>
    <x v="4"/>
    <s v="908"/>
    <s v="PORTABLE CLASSROOM RM B8"/>
    <s v="2401 SANTA MONICA BOULEVARD"/>
    <s v="SANTA MONICA"/>
    <s v="CA"/>
    <s v="90404"/>
    <n v="1992"/>
    <n v="960"/>
    <n v="96000"/>
    <n v="21000"/>
    <n v="117000"/>
    <n v="0"/>
    <d v="2015-11-17T00:00:00"/>
  </r>
  <r>
    <s v="042"/>
    <s v="SANTA MONICA-MALIBU UNIFIED SCHOOL DISTRICT"/>
    <s v="005"/>
    <x v="4"/>
    <s v="909"/>
    <s v="PORTABLE CLASSROOM RM B9"/>
    <s v="2401 SANTA MONICA BOULEVARD"/>
    <s v="SANTA MONICA"/>
    <s v="CA"/>
    <s v="90404"/>
    <n v="1992"/>
    <n v="960"/>
    <n v="96000"/>
    <n v="21000"/>
    <n v="117000"/>
    <n v="0"/>
    <d v="2015-11-17T00:00:00"/>
  </r>
  <r>
    <s v="042"/>
    <s v="SANTA MONICA-MALIBU UNIFIED SCHOOL DISTRICT"/>
    <s v="006"/>
    <x v="5"/>
    <s v="001"/>
    <s v="MAIN BUILDING"/>
    <s v="721 OCEAN PARK BOULEVARD"/>
    <s v="SANTA MONICA"/>
    <s v="CA"/>
    <s v="90405"/>
    <n v="1923"/>
    <n v="24434"/>
    <n v="7246000"/>
    <n v="781000"/>
    <n v="8027000"/>
    <n v="1555"/>
    <d v="2015-11-19T00:00:00"/>
  </r>
  <r>
    <s v="042"/>
    <s v="SANTA MONICA-MALIBU UNIFIED SCHOOL DISTRICT"/>
    <s v="006"/>
    <x v="5"/>
    <s v="002"/>
    <s v="CLASSROOM BUILDING RMS 12-17"/>
    <s v="721 OCEAN PARK BOULEVARD"/>
    <s v="SANTA MONICA"/>
    <s v="CA"/>
    <s v="90405"/>
    <n v="1937"/>
    <n v="6700"/>
    <n v="1935000"/>
    <n v="201000"/>
    <n v="2136000"/>
    <n v="0"/>
    <d v="2015-11-19T00:00:00"/>
  </r>
  <r>
    <s v="042"/>
    <s v="SANTA MONICA-MALIBU UNIFIED SCHOOL DISTRICT"/>
    <s v="006"/>
    <x v="5"/>
    <s v="003"/>
    <s v="CLASSROOM BUILDING RMS 9-10"/>
    <s v="721 OCEAN PARK BOULEVARD"/>
    <s v="SANTA MONICA"/>
    <s v="CA"/>
    <s v="90405"/>
    <n v="1937"/>
    <n v="2400"/>
    <n v="723000"/>
    <n v="72000"/>
    <n v="795000"/>
    <n v="0"/>
    <d v="2015-11-19T00:00:00"/>
  </r>
  <r>
    <s v="042"/>
    <s v="SANTA MONICA-MALIBU UNIFIED SCHOOL DISTRICT"/>
    <s v="006"/>
    <x v="5"/>
    <s v="098"/>
    <s v="COVERED EATING AREA"/>
    <s v="721 OCEAN PARK BOULEVARD"/>
    <s v="SANTA MONICA"/>
    <s v="CA"/>
    <s v="90405"/>
    <n v="2012"/>
    <n v="504"/>
    <n v="10000"/>
    <n v="0"/>
    <n v="10000"/>
    <n v="0"/>
    <d v="2015-11-19T00:00:00"/>
  </r>
  <r>
    <s v="042"/>
    <s v="SANTA MONICA-MALIBU UNIFIED SCHOOL DISTRICT"/>
    <s v="006"/>
    <x v="5"/>
    <s v="098A"/>
    <s v="COVERED EATING AREA"/>
    <s v="721 OCEAN PARK BOULEVARD"/>
    <s v="SANTA MONICA"/>
    <s v="CA"/>
    <s v="90405"/>
    <n v="2012"/>
    <n v="720"/>
    <n v="14000"/>
    <n v="0"/>
    <n v="14000"/>
    <n v="0"/>
    <d v="2015-11-19T00:00:00"/>
  </r>
  <r>
    <s v="042"/>
    <s v="SANTA MONICA-MALIBU UNIFIED SCHOOL DISTRICT"/>
    <s v="006"/>
    <x v="5"/>
    <s v="099"/>
    <s v="COVERED PASSAGES"/>
    <s v="721 OCEAN PARK BOULEVARD"/>
    <s v="SANTA MONICA"/>
    <s v="CA"/>
    <s v="90405"/>
    <n v="1930"/>
    <n v="5610"/>
    <n v="161000"/>
    <n v="0"/>
    <n v="161000"/>
    <n v="0"/>
    <d v="2015-11-19T00:00:00"/>
  </r>
  <r>
    <s v="042"/>
    <s v="SANTA MONICA-MALIBU UNIFIED SCHOOL DISTRICT"/>
    <s v="006"/>
    <x v="5"/>
    <s v="906"/>
    <s v="PORTABLE OFFICE"/>
    <s v="721 OCEAN PARK BOULEVARD"/>
    <s v="SANTA MONICA"/>
    <s v="CA"/>
    <s v="90405"/>
    <n v="1997"/>
    <n v="960"/>
    <n v="96000"/>
    <n v="21000"/>
    <n v="117000"/>
    <n v="0"/>
    <d v="2015-11-19T00:00:00"/>
  </r>
  <r>
    <s v="042"/>
    <s v="SANTA MONICA-MALIBU UNIFIED SCHOOL DISTRICT"/>
    <s v="006"/>
    <x v="5"/>
    <s v="907"/>
    <s v="PORTABLE CLASSROOM BUILDING RM B"/>
    <s v="721 OCEAN PARK BOULEVARD"/>
    <s v="SANTA MONICA"/>
    <s v="CA"/>
    <s v="90405"/>
    <n v="1997"/>
    <n v="960"/>
    <n v="96000"/>
    <n v="21000"/>
    <n v="117000"/>
    <n v="0"/>
    <d v="2015-11-19T00:00:00"/>
  </r>
  <r>
    <s v="042"/>
    <s v="SANTA MONICA-MALIBU UNIFIED SCHOOL DISTRICT"/>
    <s v="006"/>
    <x v="5"/>
    <s v="908"/>
    <s v="PORTABLE CLASSROOM BUILDING RM O.T. KITCHEN"/>
    <s v="721 OCEAN PARK BOULEVARD"/>
    <s v="SANTA MONICA"/>
    <s v="CA"/>
    <s v="90405"/>
    <n v="1997"/>
    <n v="960"/>
    <n v="96000"/>
    <n v="21000"/>
    <n v="117000"/>
    <n v="0"/>
    <d v="2015-11-19T00:00:00"/>
  </r>
  <r>
    <s v="042"/>
    <s v="SANTA MONICA-MALIBU UNIFIED SCHOOL DISTRICT"/>
    <s v="006"/>
    <x v="5"/>
    <s v="909"/>
    <s v="PORTABLE CLASSROOM BUILDING RM A"/>
    <s v="721 OCEAN PARK BOULEVARD"/>
    <s v="SANTA MONICA"/>
    <s v="CA"/>
    <s v="90405"/>
    <n v="1997"/>
    <n v="960"/>
    <n v="96000"/>
    <n v="21000"/>
    <n v="117000"/>
    <n v="0"/>
    <d v="2015-11-19T00:00:00"/>
  </r>
  <r>
    <s v="042"/>
    <s v="SANTA MONICA-MALIBU UNIFIED SCHOOL DISTRICT"/>
    <s v="007"/>
    <x v="6"/>
    <s v="001"/>
    <s v="ADMINISTRATION BUILDING"/>
    <s v="2401 14TH STREET"/>
    <s v="SANTA MONICA"/>
    <s v="CA"/>
    <s v="90405"/>
    <n v="1948"/>
    <n v="3912"/>
    <n v="924000"/>
    <n v="129000"/>
    <n v="1053000"/>
    <n v="0"/>
    <d v="2015-11-18T00:00:00"/>
  </r>
  <r>
    <s v="042"/>
    <s v="SANTA MONICA-MALIBU UNIFIED SCHOOL DISTRICT"/>
    <s v="007"/>
    <x v="6"/>
    <s v="004"/>
    <s v="CLASSROOM BUILDING WING 100"/>
    <s v="2401 14TH STREET"/>
    <s v="SANTA MONICA"/>
    <s v="CA"/>
    <s v="90405"/>
    <n v="1948"/>
    <n v="5504"/>
    <n v="1474000"/>
    <n v="167000"/>
    <n v="1641000"/>
    <n v="0"/>
    <d v="2015-11-18T00:00:00"/>
  </r>
  <r>
    <s v="042"/>
    <s v="SANTA MONICA-MALIBU UNIFIED SCHOOL DISTRICT"/>
    <s v="007"/>
    <x v="6"/>
    <s v="006"/>
    <s v="CLASSROOM BUILDING WING 200"/>
    <s v="2401 14TH STREET"/>
    <s v="SANTA MONICA"/>
    <s v="CA"/>
    <s v="90405"/>
    <n v="1948"/>
    <n v="5504"/>
    <n v="1674000"/>
    <n v="167000"/>
    <n v="1841000"/>
    <n v="0"/>
    <d v="2015-11-18T00:00:00"/>
  </r>
  <r>
    <s v="042"/>
    <s v="SANTA MONICA-MALIBU UNIFIED SCHOOL DISTRICT"/>
    <s v="007"/>
    <x v="6"/>
    <s v="008"/>
    <s v="CLASSROOM BUILDING WING 300"/>
    <s v="2401 14TH STREET"/>
    <s v="SANTA MONICA"/>
    <s v="CA"/>
    <s v="90405"/>
    <n v="1948"/>
    <n v="5504"/>
    <n v="1691000"/>
    <n v="169000"/>
    <n v="1860000"/>
    <n v="84"/>
    <d v="2015-11-18T00:00:00"/>
  </r>
  <r>
    <s v="042"/>
    <s v="SANTA MONICA-MALIBU UNIFIED SCHOOL DISTRICT"/>
    <s v="007"/>
    <x v="6"/>
    <s v="010"/>
    <s v="CLASSROOM BUILDING WING 400"/>
    <s v="2401 14TH STREET"/>
    <s v="SANTA MONICA"/>
    <s v="CA"/>
    <s v="90405"/>
    <n v="1948"/>
    <n v="5504"/>
    <n v="1674000"/>
    <n v="167000"/>
    <n v="1841000"/>
    <n v="0"/>
    <d v="2015-11-18T00:00:00"/>
  </r>
  <r>
    <s v="042"/>
    <s v="SANTA MONICA-MALIBU UNIFIED SCHOOL DISTRICT"/>
    <s v="007"/>
    <x v="6"/>
    <s v="012"/>
    <s v="CLASSROOM BUILDING WING 500"/>
    <s v="2401 14TH STREET"/>
    <s v="SANTA MONICA"/>
    <s v="CA"/>
    <s v="90405"/>
    <n v="1948"/>
    <n v="5504"/>
    <n v="1674000"/>
    <n v="167000"/>
    <n v="1841000"/>
    <n v="0"/>
    <d v="2015-11-18T00:00:00"/>
  </r>
  <r>
    <s v="042"/>
    <s v="SANTA MONICA-MALIBU UNIFIED SCHOOL DISTRICT"/>
    <s v="007"/>
    <x v="6"/>
    <s v="003"/>
    <s v="CLASSROOM BUILDING RM 2"/>
    <s v="2401 14TH STREET"/>
    <s v="SANTA MONICA"/>
    <s v="CA"/>
    <s v="90405"/>
    <n v="1948"/>
    <n v="1674"/>
    <n v="456000"/>
    <n v="51000"/>
    <n v="507000"/>
    <n v="0"/>
    <d v="2015-11-18T00:00:00"/>
  </r>
  <r>
    <s v="042"/>
    <s v="SANTA MONICA-MALIBU UNIFIED SCHOOL DISTRICT"/>
    <s v="007"/>
    <x v="6"/>
    <s v="005"/>
    <s v="CLASSROOM BUILDING RM 106"/>
    <s v="2401 14TH STREET"/>
    <s v="SANTA MONICA"/>
    <s v="CA"/>
    <s v="90405"/>
    <n v="1950"/>
    <n v="960"/>
    <n v="262000"/>
    <n v="29000"/>
    <n v="291000"/>
    <n v="0"/>
    <d v="2015-11-18T00:00:00"/>
  </r>
  <r>
    <s v="042"/>
    <s v="SANTA MONICA-MALIBU UNIFIED SCHOOL DISTRICT"/>
    <s v="007"/>
    <x v="6"/>
    <s v="007"/>
    <s v="CLASSROOM BUILDING RM 206"/>
    <s v="2401 14TH STREET"/>
    <s v="SANTA MONICA"/>
    <s v="CA"/>
    <s v="90405"/>
    <n v="1950"/>
    <n v="960"/>
    <n v="276000"/>
    <n v="29000"/>
    <n v="305000"/>
    <n v="0"/>
    <d v="2015-11-18T00:00:00"/>
  </r>
  <r>
    <s v="042"/>
    <s v="SANTA MONICA-MALIBU UNIFIED SCHOOL DISTRICT"/>
    <s v="007"/>
    <x v="6"/>
    <s v="009"/>
    <s v="CLASSROOM BUILDING RM 306"/>
    <s v="2401 14TH STREET"/>
    <s v="SANTA MONICA"/>
    <s v="CA"/>
    <s v="90405"/>
    <n v="1950"/>
    <n v="960"/>
    <n v="276000"/>
    <n v="29000"/>
    <n v="305000"/>
    <n v="0"/>
    <d v="2015-11-18T00:00:00"/>
  </r>
  <r>
    <s v="042"/>
    <s v="SANTA MONICA-MALIBU UNIFIED SCHOOL DISTRICT"/>
    <s v="007"/>
    <x v="6"/>
    <s v="011"/>
    <s v="CLASSROOM BUILDING RM 406"/>
    <s v="2401 14TH STREET"/>
    <s v="SANTA MONICA"/>
    <s v="CA"/>
    <s v="90405"/>
    <n v="1950"/>
    <n v="960"/>
    <n v="276000"/>
    <n v="29000"/>
    <n v="305000"/>
    <n v="0"/>
    <d v="2015-11-18T00:00:00"/>
  </r>
  <r>
    <s v="042"/>
    <s v="SANTA MONICA-MALIBU UNIFIED SCHOOL DISTRICT"/>
    <s v="007"/>
    <x v="6"/>
    <s v="013"/>
    <s v="CLASSROOM BUILDING RM 506"/>
    <s v="2401 14TH STREET"/>
    <s v="SANTA MONICA"/>
    <s v="CA"/>
    <s v="90405"/>
    <n v="1950"/>
    <n v="1023"/>
    <n v="299000"/>
    <n v="31000"/>
    <n v="330000"/>
    <n v="0"/>
    <d v="2015-11-18T00:00:00"/>
  </r>
  <r>
    <s v="042"/>
    <s v="SANTA MONICA-MALIBU UNIFIED SCHOOL DISTRICT"/>
    <s v="007"/>
    <x v="6"/>
    <s v="014"/>
    <s v="CLASSROOM BUILDING RMS 507-511"/>
    <s v="2401 14TH STREET"/>
    <s v="SANTA MONICA"/>
    <s v="CA"/>
    <s v="90405"/>
    <n v="1999"/>
    <n v="4861"/>
    <n v="1101000"/>
    <n v="147000"/>
    <n v="1248000"/>
    <n v="0"/>
    <d v="2015-11-18T00:00:00"/>
  </r>
  <r>
    <s v="042"/>
    <s v="SANTA MONICA-MALIBU UNIFIED SCHOOL DISTRICT"/>
    <s v="007"/>
    <x v="6"/>
    <s v="015"/>
    <s v="PE STORAGE/RESTROOM BUILDING"/>
    <s v="2401 14TH STREET"/>
    <s v="SANTA MONICA"/>
    <s v="CA"/>
    <s v="90405"/>
    <n v="2000"/>
    <n v="429"/>
    <n v="104000"/>
    <n v="18000"/>
    <n v="122000"/>
    <n v="0"/>
    <d v="2015-11-18T00:00:00"/>
  </r>
  <r>
    <s v="042"/>
    <s v="SANTA MONICA-MALIBU UNIFIED SCHOOL DISTRICT"/>
    <s v="007"/>
    <x v="6"/>
    <s v="098"/>
    <s v="COVERED EATING AREA"/>
    <s v="2401 14TH STREET"/>
    <s v="SANTA MONICA"/>
    <s v="CA"/>
    <s v="90405"/>
    <n v="2012"/>
    <n v="630"/>
    <n v="13000"/>
    <n v="0"/>
    <n v="13000"/>
    <n v="0"/>
    <d v="2015-11-18T00:00:00"/>
  </r>
  <r>
    <s v="042"/>
    <s v="SANTA MONICA-MALIBU UNIFIED SCHOOL DISTRICT"/>
    <s v="007"/>
    <x v="6"/>
    <s v="098A"/>
    <s v="COVERED EATING AREA"/>
    <s v="2401 14TH STREET"/>
    <s v="SANTA MONICA"/>
    <s v="CA"/>
    <s v="90405"/>
    <n v="2005"/>
    <n v="1309"/>
    <n v="38000"/>
    <n v="0"/>
    <n v="38000"/>
    <n v="0"/>
    <d v="2015-11-18T00:00:00"/>
  </r>
  <r>
    <s v="042"/>
    <s v="SANTA MONICA-MALIBU UNIFIED SCHOOL DISTRICT"/>
    <s v="007"/>
    <x v="6"/>
    <s v="099"/>
    <s v="COVERED PASSAGES"/>
    <s v="2401 14TH STREET"/>
    <s v="SANTA MONICA"/>
    <s v="CA"/>
    <s v="90405"/>
    <n v="1946"/>
    <n v="16430"/>
    <n v="457000"/>
    <n v="0"/>
    <n v="457000"/>
    <n v="0"/>
    <d v="2015-11-18T00:00:00"/>
  </r>
  <r>
    <s v="042"/>
    <s v="SANTA MONICA-MALIBU UNIFIED SCHOOL DISTRICT"/>
    <s v="007"/>
    <x v="6"/>
    <s v="901"/>
    <s v="PORTABLE CLASSROOM BUILDING RM 3"/>
    <s v="2401 14TH STREET"/>
    <s v="SANTA MONICA"/>
    <s v="CA"/>
    <s v="90405"/>
    <n v="1992"/>
    <n v="960"/>
    <n v="96000"/>
    <n v="21000"/>
    <n v="117000"/>
    <n v="0"/>
    <d v="2015-11-18T00:00:00"/>
  </r>
  <r>
    <s v="042"/>
    <s v="SANTA MONICA-MALIBU UNIFIED SCHOOL DISTRICT"/>
    <s v="007"/>
    <x v="6"/>
    <s v="902"/>
    <s v="PORTABLE CLASSROOM BUILDING RM 4"/>
    <s v="2401 14TH STREET"/>
    <s v="SANTA MONICA"/>
    <s v="CA"/>
    <s v="90405"/>
    <n v="1992"/>
    <n v="960"/>
    <n v="96000"/>
    <n v="21000"/>
    <n v="117000"/>
    <n v="0"/>
    <d v="2015-11-18T00:00:00"/>
  </r>
  <r>
    <s v="042"/>
    <s v="SANTA MONICA-MALIBU UNIFIED SCHOOL DISTRICT"/>
    <s v="007"/>
    <x v="6"/>
    <s v="903"/>
    <s v="PORTABLE CLASSROOM BUILDING RM 5"/>
    <s v="2401 14TH STREET"/>
    <s v="SANTA MONICA"/>
    <s v="CA"/>
    <s v="90405"/>
    <n v="1992"/>
    <n v="960"/>
    <n v="96000"/>
    <n v="21000"/>
    <n v="117000"/>
    <n v="0"/>
    <d v="2015-11-18T00:00:00"/>
  </r>
  <r>
    <s v="042"/>
    <s v="SANTA MONICA-MALIBU UNIFIED SCHOOL DISTRICT"/>
    <s v="007"/>
    <x v="6"/>
    <s v="904"/>
    <s v="PORTABLE CLASSROOM BUILDING RM 6"/>
    <s v="2401 14TH STREET"/>
    <s v="SANTA MONICA"/>
    <s v="CA"/>
    <s v="90405"/>
    <n v="1998"/>
    <n v="960"/>
    <n v="96000"/>
    <n v="21000"/>
    <n v="117000"/>
    <n v="0"/>
    <d v="2015-11-18T00:00:00"/>
  </r>
  <r>
    <s v="042"/>
    <s v="SANTA MONICA-MALIBU UNIFIED SCHOOL DISTRICT"/>
    <s v="007"/>
    <x v="6"/>
    <s v="905"/>
    <s v="PORTABLE CLASSROOM BUILDING RM 407"/>
    <s v="2401 14TH STREET"/>
    <s v="SANTA MONICA"/>
    <s v="CA"/>
    <s v="90405"/>
    <n v="1998"/>
    <n v="960"/>
    <n v="96000"/>
    <n v="21000"/>
    <n v="117000"/>
    <n v="0"/>
    <d v="2015-11-18T00:00:00"/>
  </r>
  <r>
    <s v="042"/>
    <s v="SANTA MONICA-MALIBU UNIFIED SCHOOL DISTRICT"/>
    <s v="007"/>
    <x v="6"/>
    <s v="906"/>
    <s v="PORTABLE CLASSROOM BUILDING RM 408"/>
    <s v="2401 14TH STREET"/>
    <s v="SANTA MONICA"/>
    <s v="CA"/>
    <s v="90405"/>
    <n v="1992"/>
    <n v="960"/>
    <n v="96000"/>
    <n v="21000"/>
    <n v="117000"/>
    <n v="0"/>
    <d v="2015-11-18T00:00:00"/>
  </r>
  <r>
    <s v="042"/>
    <s v="SANTA MONICA-MALIBU UNIFIED SCHOOL DISTRICT"/>
    <s v="007"/>
    <x v="6"/>
    <s v="002"/>
    <s v="MULTIPURPOSE BUILDING"/>
    <s v="2401 14TH STREET"/>
    <s v="SANTA MONICA"/>
    <s v="CA"/>
    <s v="90405"/>
    <n v="1948"/>
    <n v="5456"/>
    <n v="1361000"/>
    <n v="180000"/>
    <n v="1541000"/>
    <n v="0"/>
    <d v="2015-11-18T00:00:00"/>
  </r>
  <r>
    <s v="042"/>
    <s v="SANTA MONICA-MALIBU UNIFIED SCHOOL DISTRICT"/>
    <s v="008"/>
    <x v="7"/>
    <s v="005"/>
    <s v="CLASSROOM BUILDING RM 8"/>
    <s v="801 MONTANA AVENUE"/>
    <s v="SANTA MONICA"/>
    <s v="CA"/>
    <s v="90403"/>
    <n v="1940"/>
    <n v="1050"/>
    <n v="285000"/>
    <n v="32000"/>
    <n v="317000"/>
    <n v="0"/>
    <d v="2015-11-15T00:00:00"/>
  </r>
  <r>
    <s v="042"/>
    <s v="SANTA MONICA-MALIBU UNIFIED SCHOOL DISTRICT"/>
    <s v="008"/>
    <x v="7"/>
    <s v="006"/>
    <s v="CLASSROOM BUILDING RMS 9-13"/>
    <s v="801 MONTANA AVENUE"/>
    <s v="SANTA MONICA"/>
    <s v="CA"/>
    <s v="90403"/>
    <n v="1940"/>
    <n v="5800"/>
    <n v="1626000"/>
    <n v="176000"/>
    <n v="1802000"/>
    <n v="0"/>
    <d v="2015-11-15T00:00:00"/>
  </r>
  <r>
    <s v="042"/>
    <s v="SANTA MONICA-MALIBU UNIFIED SCHOOL DISTRICT"/>
    <s v="008"/>
    <x v="7"/>
    <s v="018"/>
    <s v="PE STORAGE/RESTROOM BUILDING"/>
    <s v="801 MONTANA AVENUE"/>
    <s v="SANTA MONICA"/>
    <s v="CA"/>
    <s v="90403"/>
    <n v="2000"/>
    <n v="414"/>
    <n v="104000"/>
    <n v="17000"/>
    <n v="121000"/>
    <n v="0"/>
    <d v="2015-11-15T00:00:00"/>
  </r>
  <r>
    <s v="042"/>
    <s v="SANTA MONICA-MALIBU UNIFIED SCHOOL DISTRICT"/>
    <s v="008"/>
    <x v="7"/>
    <s v="001"/>
    <s v="ADMINISTRATION BUILDING"/>
    <s v="801 MONTANA AVENUE"/>
    <s v="SANTA MONICA"/>
    <s v="CA"/>
    <s v="90403"/>
    <n v="1934"/>
    <n v="4731"/>
    <n v="1282000"/>
    <n v="156000"/>
    <n v="1438000"/>
    <n v="0"/>
    <d v="2015-11-18T00:00:00"/>
  </r>
  <r>
    <s v="042"/>
    <s v="SANTA MONICA-MALIBU UNIFIED SCHOOL DISTRICT"/>
    <s v="008"/>
    <x v="7"/>
    <s v="010"/>
    <s v="CLASSROOM BUILDING RM 1"/>
    <s v="801 MONTANA AVENUE"/>
    <s v="SANTA MONICA"/>
    <s v="CA"/>
    <s v="90403"/>
    <n v="1992"/>
    <n v="960"/>
    <n v="231000"/>
    <n v="29000"/>
    <n v="260000"/>
    <n v="0"/>
    <d v="2015-11-18T00:00:00"/>
  </r>
  <r>
    <s v="042"/>
    <s v="SANTA MONICA-MALIBU UNIFIED SCHOOL DISTRICT"/>
    <s v="008"/>
    <x v="7"/>
    <s v="011"/>
    <s v="CLASSROOM BUILDING RM 2"/>
    <s v="801 MONTANA AVENUE"/>
    <s v="SANTA MONICA"/>
    <s v="CA"/>
    <s v="90403"/>
    <n v="1992"/>
    <n v="960"/>
    <n v="231000"/>
    <n v="29000"/>
    <n v="260000"/>
    <n v="0"/>
    <d v="2015-11-18T00:00:00"/>
  </r>
  <r>
    <s v="042"/>
    <s v="SANTA MONICA-MALIBU UNIFIED SCHOOL DISTRICT"/>
    <s v="008"/>
    <x v="7"/>
    <s v="015"/>
    <s v="RESTROOM BUILDING #1"/>
    <s v="801 MONTANA AVENUE"/>
    <s v="SANTA MONICA"/>
    <s v="CA"/>
    <s v="90403"/>
    <n v="1940"/>
    <n v="330"/>
    <n v="117000"/>
    <n v="2000"/>
    <n v="119000"/>
    <n v="0"/>
    <d v="2015-11-18T00:00:00"/>
  </r>
  <r>
    <s v="042"/>
    <s v="SANTA MONICA-MALIBU UNIFIED SCHOOL DISTRICT"/>
    <s v="008"/>
    <x v="7"/>
    <s v="007"/>
    <s v="CLASSROOM BUILDING RMS 14-17"/>
    <s v="801 MONTANA AVENUE"/>
    <s v="SANTA MONICA"/>
    <s v="CA"/>
    <s v="90403"/>
    <n v="1940"/>
    <n v="4100"/>
    <n v="1274000"/>
    <n v="124000"/>
    <n v="1398000"/>
    <n v="0"/>
    <d v="2015-11-18T00:00:00"/>
  </r>
  <r>
    <s v="042"/>
    <s v="SANTA MONICA-MALIBU UNIFIED SCHOOL DISTRICT"/>
    <s v="008"/>
    <x v="7"/>
    <s v="013"/>
    <s v="STORAGE BUILDING #1"/>
    <s v="801 MONTANA AVENUE"/>
    <s v="SANTA MONICA"/>
    <s v="CA"/>
    <s v="90403"/>
    <n v="1940"/>
    <n v="480"/>
    <n v="87000"/>
    <n v="20000"/>
    <n v="107000"/>
    <n v="0"/>
    <d v="2015-11-18T00:00:00"/>
  </r>
  <r>
    <s v="042"/>
    <s v="SANTA MONICA-MALIBU UNIFIED SCHOOL DISTRICT"/>
    <s v="008"/>
    <x v="7"/>
    <s v="016"/>
    <s v="RESTROOM BUILDING #2"/>
    <s v="801 MONTANA AVENUE"/>
    <s v="SANTA MONICA"/>
    <s v="CA"/>
    <s v="90403"/>
    <n v="1940"/>
    <n v="480"/>
    <n v="146000"/>
    <n v="2000"/>
    <n v="148000"/>
    <n v="0"/>
    <d v="2015-11-18T00:00:00"/>
  </r>
  <r>
    <s v="042"/>
    <s v="SANTA MONICA-MALIBU UNIFIED SCHOOL DISTRICT"/>
    <s v="008"/>
    <x v="7"/>
    <s v="008"/>
    <s v="CLASSROOM BUILDING RMS 18-21"/>
    <s v="801 MONTANA AVENUE"/>
    <s v="SANTA MONICA"/>
    <s v="CA"/>
    <s v="90403"/>
    <n v="1940"/>
    <n v="4100"/>
    <n v="1274000"/>
    <n v="124000"/>
    <n v="1398000"/>
    <n v="0"/>
    <d v="2015-11-18T00:00:00"/>
  </r>
  <r>
    <s v="042"/>
    <s v="SANTA MONICA-MALIBU UNIFIED SCHOOL DISTRICT"/>
    <s v="008"/>
    <x v="7"/>
    <s v="017"/>
    <s v="RESTROOM BUILDING #3"/>
    <s v="801 MONTANA AVENUE"/>
    <s v="SANTA MONICA"/>
    <s v="CA"/>
    <s v="90403"/>
    <n v="1940"/>
    <n v="480"/>
    <n v="146000"/>
    <n v="2000"/>
    <n v="148000"/>
    <n v="0"/>
    <d v="2015-11-18T00:00:00"/>
  </r>
  <r>
    <s v="042"/>
    <s v="SANTA MONICA-MALIBU UNIFIED SCHOOL DISTRICT"/>
    <s v="008"/>
    <x v="7"/>
    <s v="014"/>
    <s v="STORAGE/RESTROOM BUILDING #2"/>
    <s v="801 MONTANA AVENUE"/>
    <s v="SANTA MONICA"/>
    <s v="CA"/>
    <s v="90403"/>
    <n v="1940"/>
    <n v="480"/>
    <n v="119000"/>
    <n v="20000"/>
    <n v="139000"/>
    <n v="0"/>
    <d v="2015-11-18T00:00:00"/>
  </r>
  <r>
    <s v="042"/>
    <s v="SANTA MONICA-MALIBU UNIFIED SCHOOL DISTRICT"/>
    <s v="008"/>
    <x v="7"/>
    <s v="002"/>
    <s v="CAFETERIA BUILDING"/>
    <s v="801 MONTANA AVENUE"/>
    <s v="SANTA MONICA"/>
    <s v="CA"/>
    <s v="90403"/>
    <n v="1940"/>
    <n v="4647"/>
    <n v="1574000"/>
    <n v="146000"/>
    <n v="1720000"/>
    <n v="0"/>
    <d v="2015-11-18T00:00:00"/>
  </r>
  <r>
    <s v="042"/>
    <s v="SANTA MONICA-MALIBU UNIFIED SCHOOL DISTRICT"/>
    <s v="008"/>
    <x v="7"/>
    <s v="003"/>
    <s v="AUDITORIUM BUILDING"/>
    <s v="801 MONTANA AVENUE"/>
    <s v="SANTA MONICA"/>
    <s v="CA"/>
    <s v="90403"/>
    <n v="1940"/>
    <n v="5163"/>
    <n v="1559000"/>
    <n v="75000"/>
    <n v="1634000"/>
    <n v="0"/>
    <d v="2015-11-18T00:00:00"/>
  </r>
  <r>
    <s v="042"/>
    <s v="SANTA MONICA-MALIBU UNIFIED SCHOOL DISTRICT"/>
    <s v="008"/>
    <x v="7"/>
    <s v="009"/>
    <s v="LIBRARY/CLASSROOM RMS 27-37"/>
    <s v="801 MONTANA AVENUE"/>
    <s v="SANTA MONICA"/>
    <s v="CA"/>
    <s v="90403"/>
    <n v="1940"/>
    <n v="6600"/>
    <n v="2234000"/>
    <n v="200000"/>
    <n v="2434000"/>
    <n v="0"/>
    <d v="2015-11-18T00:00:00"/>
  </r>
  <r>
    <s v="042"/>
    <s v="SANTA MONICA-MALIBU UNIFIED SCHOOL DISTRICT"/>
    <s v="008"/>
    <x v="7"/>
    <s v="098"/>
    <s v="COVERED EATING AREA A"/>
    <s v="801 MONTANA AVENUE"/>
    <s v="SANTA MONICA"/>
    <s v="CA"/>
    <s v="90403"/>
    <n v="1992"/>
    <n v="750"/>
    <n v="15000"/>
    <n v="0"/>
    <n v="15000"/>
    <n v="0"/>
    <d v="2015-11-18T00:00:00"/>
  </r>
  <r>
    <s v="042"/>
    <s v="SANTA MONICA-MALIBU UNIFIED SCHOOL DISTRICT"/>
    <s v="008"/>
    <x v="7"/>
    <s v="098B"/>
    <s v="COVERED EATING AREA B"/>
    <s v="801 MONTANA AVENUE"/>
    <s v="SANTA MONICA"/>
    <s v="CA"/>
    <s v="90403"/>
    <n v="1992"/>
    <n v="240"/>
    <n v="5000"/>
    <n v="0"/>
    <n v="5000"/>
    <n v="0"/>
    <d v="2015-11-18T00:00:00"/>
  </r>
  <r>
    <s v="042"/>
    <s v="SANTA MONICA-MALIBU UNIFIED SCHOOL DISTRICT"/>
    <s v="008"/>
    <x v="7"/>
    <s v="901"/>
    <s v="PORTABLE CLASSROOM BUILDING RM 7"/>
    <s v="801 MONTANA AVENUE"/>
    <s v="SANTA MONICA"/>
    <s v="CA"/>
    <s v="90403"/>
    <n v="1992"/>
    <n v="960"/>
    <n v="96000"/>
    <n v="21000"/>
    <n v="117000"/>
    <n v="0"/>
    <d v="2015-11-18T00:00:00"/>
  </r>
  <r>
    <s v="042"/>
    <s v="SANTA MONICA-MALIBU UNIFIED SCHOOL DISTRICT"/>
    <s v="008"/>
    <x v="7"/>
    <s v="902"/>
    <s v="PORTABLE CLASSROOM BUILDING RM 22"/>
    <s v="801 MONTANA AVENUE"/>
    <s v="SANTA MONICA"/>
    <s v="CA"/>
    <s v="90403"/>
    <n v="1992"/>
    <n v="960"/>
    <n v="96000"/>
    <n v="21000"/>
    <n v="117000"/>
    <n v="0"/>
    <d v="2015-11-18T00:00:00"/>
  </r>
  <r>
    <s v="042"/>
    <s v="SANTA MONICA-MALIBU UNIFIED SCHOOL DISTRICT"/>
    <s v="008"/>
    <x v="7"/>
    <s v="903"/>
    <s v="PORTABLE CLASSROOM BUILDING RM 23"/>
    <s v="801 MONTANA AVENUE"/>
    <s v="SANTA MONICA"/>
    <s v="CA"/>
    <s v="90403"/>
    <n v="1992"/>
    <n v="960"/>
    <n v="96000"/>
    <n v="21000"/>
    <n v="117000"/>
    <n v="0"/>
    <d v="2015-11-18T00:00:00"/>
  </r>
  <r>
    <s v="042"/>
    <s v="SANTA MONICA-MALIBU UNIFIED SCHOOL DISTRICT"/>
    <s v="008"/>
    <x v="7"/>
    <s v="904"/>
    <s v="PORTABLE CLASSROOM BUILDING RM 24"/>
    <s v="801 MONTANA AVENUE"/>
    <s v="SANTA MONICA"/>
    <s v="CA"/>
    <s v="90403"/>
    <n v="1992"/>
    <n v="960"/>
    <n v="96000"/>
    <n v="21000"/>
    <n v="117000"/>
    <n v="0"/>
    <d v="2015-11-18T00:00:00"/>
  </r>
  <r>
    <s v="042"/>
    <s v="SANTA MONICA-MALIBU UNIFIED SCHOOL DISTRICT"/>
    <s v="008"/>
    <x v="7"/>
    <s v="905"/>
    <s v="PORTABLE CLASSROOM BUILDING RM 25"/>
    <s v="801 MONTANA AVENUE"/>
    <s v="SANTA MONICA"/>
    <s v="CA"/>
    <s v="90403"/>
    <n v="1992"/>
    <n v="960"/>
    <n v="96000"/>
    <n v="21000"/>
    <n v="117000"/>
    <n v="0"/>
    <d v="2015-11-18T00:00:00"/>
  </r>
  <r>
    <s v="042"/>
    <s v="SANTA MONICA-MALIBU UNIFIED SCHOOL DISTRICT"/>
    <s v="008"/>
    <x v="7"/>
    <s v="906"/>
    <s v="PORTABLE CLASSROOM BUILDING RM 26"/>
    <s v="801 MONTANA AVENUE"/>
    <s v="SANTA MONICA"/>
    <s v="CA"/>
    <s v="90403"/>
    <n v="1992"/>
    <n v="960"/>
    <n v="96000"/>
    <n v="21000"/>
    <n v="117000"/>
    <n v="0"/>
    <d v="2015-11-18T00:00:00"/>
  </r>
  <r>
    <s v="042"/>
    <s v="SANTA MONICA-MALIBU UNIFIED SCHOOL DISTRICT"/>
    <s v="008"/>
    <x v="7"/>
    <s v="907"/>
    <s v="PORTABLE CLASSROOM BUILDING RM 38"/>
    <s v="801 MONTANA AVENUE"/>
    <s v="SANTA MONICA"/>
    <s v="CA"/>
    <s v="90403"/>
    <n v="1992"/>
    <n v="960"/>
    <n v="96000"/>
    <n v="21000"/>
    <n v="117000"/>
    <n v="0"/>
    <d v="2015-11-18T00:00:00"/>
  </r>
  <r>
    <s v="042"/>
    <s v="SANTA MONICA-MALIBU UNIFIED SCHOOL DISTRICT"/>
    <s v="008"/>
    <x v="7"/>
    <s v="908"/>
    <s v="PORTABLE CLASSROOM BUILDING RM 39"/>
    <s v="801 MONTANA AVENUE"/>
    <s v="SANTA MONICA"/>
    <s v="CA"/>
    <s v="90403"/>
    <n v="1992"/>
    <n v="960"/>
    <n v="96000"/>
    <n v="21000"/>
    <n v="117000"/>
    <n v="0"/>
    <d v="2015-11-18T00:00:00"/>
  </r>
  <r>
    <s v="042"/>
    <s v="SANTA MONICA-MALIBU UNIFIED SCHOOL DISTRICT"/>
    <s v="008"/>
    <x v="7"/>
    <s v="909"/>
    <s v="PORTABLE CLASSROOM BUILDING RM 40"/>
    <s v="801 MONTANA AVENUE"/>
    <s v="SANTA MONICA"/>
    <s v="CA"/>
    <s v="90403"/>
    <n v="1992"/>
    <n v="960"/>
    <n v="96000"/>
    <n v="21000"/>
    <n v="117000"/>
    <n v="0"/>
    <d v="2015-11-18T00:00:00"/>
  </r>
  <r>
    <s v="042"/>
    <s v="SANTA MONICA-MALIBU UNIFIED SCHOOL DISTRICT"/>
    <s v="008"/>
    <x v="7"/>
    <s v="910"/>
    <s v="PORTABLE CLASSROOM BUILDING RM 41"/>
    <s v="801 MONTANA AVENUE"/>
    <s v="SANTA MONICA"/>
    <s v="CA"/>
    <s v="90403"/>
    <n v="1992"/>
    <n v="960"/>
    <n v="96000"/>
    <n v="21000"/>
    <n v="117000"/>
    <n v="0"/>
    <d v="2015-11-18T00:00:00"/>
  </r>
  <r>
    <s v="042"/>
    <s v="SANTA MONICA-MALIBU UNIFIED SCHOOL DISTRICT"/>
    <s v="008"/>
    <x v="7"/>
    <s v="012"/>
    <s v="TEACHERS WORKROOM BUILDING"/>
    <s v="801 MONTANA AVENUE"/>
    <s v="SANTA MONICA"/>
    <s v="CA"/>
    <s v="90403"/>
    <n v="1992"/>
    <n v="1233"/>
    <n v="300000"/>
    <n v="37000"/>
    <n v="337000"/>
    <n v="0"/>
    <d v="2015-11-18T00:00:00"/>
  </r>
  <r>
    <s v="042"/>
    <s v="SANTA MONICA-MALIBU UNIFIED SCHOOL DISTRICT"/>
    <s v="008"/>
    <x v="7"/>
    <s v="004"/>
    <s v="CLASSROOM BUILDING RMS 5-6"/>
    <s v="801 MONTANA AVENUE"/>
    <s v="SANTA MONICA"/>
    <s v="CA"/>
    <s v="90403"/>
    <n v="1940"/>
    <n v="1233"/>
    <n v="407000"/>
    <n v="37000"/>
    <n v="444000"/>
    <n v="0"/>
    <d v="2015-11-18T00:00:00"/>
  </r>
  <r>
    <s v="042"/>
    <s v="SANTA MONICA-MALIBU UNIFIED SCHOOL DISTRICT"/>
    <s v="009"/>
    <x v="8"/>
    <s v="001"/>
    <s v="ADMINISTRATION BUILDING"/>
    <s v="3602 WINTER CANYON"/>
    <s v="MALIBU"/>
    <s v="CA"/>
    <s v="90265"/>
    <n v="1948"/>
    <n v="1734"/>
    <n v="498000"/>
    <n v="57000"/>
    <n v="555000"/>
    <n v="0"/>
    <d v="2015-11-16T00:00:00"/>
  </r>
  <r>
    <s v="042"/>
    <s v="SANTA MONICA-MALIBU UNIFIED SCHOOL DISTRICT"/>
    <s v="009"/>
    <x v="8"/>
    <s v="002"/>
    <s v="MULTIPURPOSE BUILDING"/>
    <s v="3602 WINTER CANYON"/>
    <s v="MALIBU"/>
    <s v="CA"/>
    <s v="90265"/>
    <n v="1952"/>
    <n v="6111"/>
    <n v="1821000"/>
    <n v="192000"/>
    <n v="2013000"/>
    <n v="0"/>
    <d v="2015-11-16T00:00:00"/>
  </r>
  <r>
    <s v="042"/>
    <s v="SANTA MONICA-MALIBU UNIFIED SCHOOL DISTRICT"/>
    <s v="009"/>
    <x v="8"/>
    <s v="004"/>
    <s v="LIBRARY AND CLASSROOM BUILDING"/>
    <s v="3602 WINTER CANYON"/>
    <s v="MALIBU"/>
    <s v="CA"/>
    <s v="90265"/>
    <n v="1948"/>
    <n v="3903"/>
    <n v="1091000"/>
    <n v="351000"/>
    <n v="1442000"/>
    <n v="0"/>
    <d v="2015-11-16T00:00:00"/>
  </r>
  <r>
    <s v="042"/>
    <s v="SANTA MONICA-MALIBU UNIFIED SCHOOL DISTRICT"/>
    <s v="009"/>
    <x v="8"/>
    <s v="005"/>
    <s v="CLASSROOM BUILDING RMS 1-4"/>
    <s v="3602 WINTER CANYON"/>
    <s v="MALIBU"/>
    <s v="CA"/>
    <s v="90265"/>
    <n v="1952"/>
    <n v="4528"/>
    <n v="1046000"/>
    <n v="137000"/>
    <n v="1183000"/>
    <n v="0"/>
    <d v="2015-11-16T00:00:00"/>
  </r>
  <r>
    <s v="042"/>
    <s v="SANTA MONICA-MALIBU UNIFIED SCHOOL DISTRICT"/>
    <s v="009"/>
    <x v="8"/>
    <s v="006"/>
    <s v="CLASSROOM BUILDING RMS 8-10"/>
    <s v="3602 WINTER CANYON"/>
    <s v="MALIBU"/>
    <s v="CA"/>
    <s v="90265"/>
    <n v="1948"/>
    <n v="3534"/>
    <n v="1001000"/>
    <n v="107000"/>
    <n v="1108000"/>
    <n v="0"/>
    <d v="2015-11-16T00:00:00"/>
  </r>
  <r>
    <s v="042"/>
    <s v="SANTA MONICA-MALIBU UNIFIED SCHOOL DISTRICT"/>
    <s v="009"/>
    <x v="8"/>
    <s v="003"/>
    <s v="CLASSROOM BUILDING RMS 11-12"/>
    <s v="3602 WINTER CANYON"/>
    <s v="MALIBU"/>
    <s v="CA"/>
    <s v="90265"/>
    <n v="1958"/>
    <n v="2263"/>
    <n v="703000"/>
    <n v="68000"/>
    <n v="771000"/>
    <n v="0"/>
    <d v="2015-11-16T00:00:00"/>
  </r>
  <r>
    <s v="042"/>
    <s v="SANTA MONICA-MALIBU UNIFIED SCHOOL DISTRICT"/>
    <s v="009"/>
    <x v="8"/>
    <s v="007"/>
    <s v="CLASSROOM BUILDING RMS 13-16A"/>
    <s v="3602 WINTER CANYON"/>
    <s v="MALIBU"/>
    <s v="CA"/>
    <s v="90265"/>
    <n v="1958"/>
    <n v="5128"/>
    <n v="1453000"/>
    <n v="155000"/>
    <n v="1608000"/>
    <n v="0"/>
    <d v="2015-11-16T00:00:00"/>
  </r>
  <r>
    <s v="042"/>
    <s v="SANTA MONICA-MALIBU UNIFIED SCHOOL DISTRICT"/>
    <s v="009"/>
    <x v="8"/>
    <s v="008"/>
    <s v="CLASSROOM BUILDING RMS 17-20"/>
    <s v="3602 WINTER CANYON"/>
    <s v="MALIBU"/>
    <s v="CA"/>
    <s v="90265"/>
    <n v="1961"/>
    <n v="4185"/>
    <n v="1261000"/>
    <n v="127000"/>
    <n v="1388000"/>
    <n v="0"/>
    <d v="2015-11-16T00:00:00"/>
  </r>
  <r>
    <s v="042"/>
    <s v="SANTA MONICA-MALIBU UNIFIED SCHOOL DISTRICT"/>
    <s v="009"/>
    <x v="8"/>
    <s v="098"/>
    <s v="COVERED EATING AREA"/>
    <s v="3602 WINTER CANYON"/>
    <s v="MALIBU"/>
    <s v="CA"/>
    <s v="90265"/>
    <n v="2012"/>
    <n v="1178"/>
    <n v="23000"/>
    <n v="0"/>
    <n v="23000"/>
    <n v="0"/>
    <d v="2015-11-16T00:00:00"/>
  </r>
  <r>
    <s v="042"/>
    <s v="SANTA MONICA-MALIBU UNIFIED SCHOOL DISTRICT"/>
    <s v="009"/>
    <x v="8"/>
    <s v="099"/>
    <s v="COVERED PASSAGES"/>
    <s v="3602 WINTER CANYON"/>
    <s v="MALIBU"/>
    <s v="CA"/>
    <s v="90265"/>
    <n v="1947"/>
    <n v="10800"/>
    <n v="310000"/>
    <n v="0"/>
    <n v="310000"/>
    <n v="0"/>
    <d v="2015-11-16T00:00:00"/>
  </r>
  <r>
    <s v="042"/>
    <s v="SANTA MONICA-MALIBU UNIFIED SCHOOL DISTRICT"/>
    <s v="009"/>
    <x v="8"/>
    <s v="901"/>
    <s v="PORTABLE CLASSROOM RM 21"/>
    <s v="3602 WINTER CANYON"/>
    <s v="MALIBU"/>
    <s v="CA"/>
    <s v="90265"/>
    <n v="1996"/>
    <n v="960"/>
    <n v="96000"/>
    <n v="21000"/>
    <n v="117000"/>
    <n v="0"/>
    <d v="2015-11-16T00:00:00"/>
  </r>
  <r>
    <s v="042"/>
    <s v="SANTA MONICA-MALIBU UNIFIED SCHOOL DISTRICT"/>
    <s v="009"/>
    <x v="8"/>
    <s v="902"/>
    <s v="PORTABLE CLASSROOM RM 22"/>
    <s v="3602 WINTER CANYON"/>
    <s v="MALIBU"/>
    <s v="CA"/>
    <s v="90265"/>
    <n v="1996"/>
    <n v="960"/>
    <n v="96000"/>
    <n v="21000"/>
    <n v="117000"/>
    <n v="0"/>
    <d v="2015-11-16T00:00:00"/>
  </r>
  <r>
    <s v="042"/>
    <s v="SANTA MONICA-MALIBU UNIFIED SCHOOL DISTRICT"/>
    <s v="009"/>
    <x v="8"/>
    <s v="903"/>
    <s v="PORTABLE CLASSROOM RM 23"/>
    <s v="3602 WINTER CANYON"/>
    <s v="MALIBU"/>
    <s v="CA"/>
    <s v="90265"/>
    <n v="1999"/>
    <n v="960"/>
    <n v="96000"/>
    <n v="21000"/>
    <n v="117000"/>
    <n v="0"/>
    <d v="2015-11-16T00:00:00"/>
  </r>
  <r>
    <s v="042"/>
    <s v="SANTA MONICA-MALIBU UNIFIED SCHOOL DISTRICT"/>
    <s v="010"/>
    <x v="9"/>
    <s v="001"/>
    <s v="ADMINISTRATION/CLASSROOM BUILDING"/>
    <s v="2425 16TH STREET"/>
    <s v="SANTA MONICA"/>
    <s v="CA"/>
    <s v="90405"/>
    <n v="1935"/>
    <n v="8238"/>
    <n v="2214000"/>
    <n v="172000"/>
    <n v="2386000"/>
    <n v="0"/>
    <d v="2015-11-18T00:00:00"/>
  </r>
  <r>
    <s v="042"/>
    <s v="SANTA MONICA-MALIBU UNIFIED SCHOOL DISTRICT"/>
    <s v="010"/>
    <x v="9"/>
    <s v="002"/>
    <s v="CAFETERIA BUILDING"/>
    <s v="2426 16TH STREET"/>
    <s v="SANTA MONICA"/>
    <s v="CA"/>
    <s v="90405"/>
    <n v="1936"/>
    <n v="9781"/>
    <n v="2316000"/>
    <n v="307000"/>
    <n v="2623000"/>
    <n v="0"/>
    <d v="2015-11-18T00:00:00"/>
  </r>
  <r>
    <s v="042"/>
    <s v="SANTA MONICA-MALIBU UNIFIED SCHOOL DISTRICT"/>
    <s v="010"/>
    <x v="9"/>
    <s v="004"/>
    <s v="GYMNASIUM BUILDING"/>
    <s v="2426 16TH STREET"/>
    <s v="SANTA MONICA"/>
    <s v="CA"/>
    <s v="90405"/>
    <n v="1948"/>
    <n v="22561"/>
    <n v="5764000"/>
    <n v="202000"/>
    <n v="5966000"/>
    <n v="0"/>
    <d v="2015-11-18T00:00:00"/>
  </r>
  <r>
    <s v="042"/>
    <s v="SANTA MONICA-MALIBU UNIFIED SCHOOL DISTRICT"/>
    <s v="010"/>
    <x v="9"/>
    <s v="005"/>
    <s v="CLASSROOM BUILDING RMS 10-13"/>
    <s v="2429 16TH STREET"/>
    <s v="SANTA MONICA"/>
    <s v="CA"/>
    <s v="90405"/>
    <n v="1935"/>
    <n v="4050"/>
    <n v="1112000"/>
    <n v="85000"/>
    <n v="1197000"/>
    <n v="0"/>
    <d v="2015-11-18T00:00:00"/>
  </r>
  <r>
    <s v="042"/>
    <s v="SANTA MONICA-MALIBU UNIFIED SCHOOL DISTRICT"/>
    <s v="010"/>
    <x v="9"/>
    <s v="006"/>
    <s v="CLASSROOM BUILDING RMS 16-18"/>
    <s v="2430 16TH STREET"/>
    <s v="SANTA MONICA"/>
    <s v="CA"/>
    <s v="90405"/>
    <n v="1958"/>
    <n v="2940"/>
    <n v="792000"/>
    <n v="61000"/>
    <n v="853000"/>
    <n v="0"/>
    <d v="2015-11-18T00:00:00"/>
  </r>
  <r>
    <s v="042"/>
    <s v="SANTA MONICA-MALIBU UNIFIED SCHOOL DISTRICT"/>
    <s v="010"/>
    <x v="9"/>
    <s v="007"/>
    <s v="ADMINISTRATION/CLASSROOM BUILDING"/>
    <s v="2431 16TH STREET"/>
    <s v="SANTA MONICA"/>
    <s v="CA"/>
    <s v="90405"/>
    <n v="1935"/>
    <n v="7901"/>
    <n v="2136000"/>
    <n v="165000"/>
    <n v="2301000"/>
    <n v="0"/>
    <d v="2015-11-18T00:00:00"/>
  </r>
  <r>
    <s v="042"/>
    <s v="SANTA MONICA-MALIBU UNIFIED SCHOOL DISTRICT"/>
    <s v="010"/>
    <x v="9"/>
    <s v="008"/>
    <s v="CLASSROOM BUILDING RMS 22, 24"/>
    <s v="2432 16TH STREET"/>
    <s v="SANTA MONICA"/>
    <s v="CA"/>
    <s v="90405"/>
    <n v="1935"/>
    <n v="2325"/>
    <n v="647000"/>
    <n v="49000"/>
    <n v="696000"/>
    <n v="0"/>
    <d v="2015-11-18T00:00:00"/>
  </r>
  <r>
    <s v="042"/>
    <s v="SANTA MONICA-MALIBU UNIFIED SCHOOL DISTRICT"/>
    <s v="010"/>
    <x v="9"/>
    <s v="009"/>
    <s v="MUSIC BUILDING RMS 26-27"/>
    <s v="2433 16TH STREET"/>
    <s v="SANTA MONICA"/>
    <s v="CA"/>
    <s v="90405"/>
    <n v="1968"/>
    <n v="5724"/>
    <n v="1594000"/>
    <n v="220000"/>
    <n v="1814000"/>
    <n v="0"/>
    <d v="2015-11-18T00:00:00"/>
  </r>
  <r>
    <s v="042"/>
    <s v="SANTA MONICA-MALIBU UNIFIED SCHOOL DISTRICT"/>
    <s v="010"/>
    <x v="9"/>
    <s v="010"/>
    <s v="LIBRARY/CLASSROOM BUILDING"/>
    <s v="2434 16TH STREET"/>
    <s v="SANTA MONICA"/>
    <s v="CA"/>
    <s v="90405"/>
    <n v="1935"/>
    <n v="8181"/>
    <n v="2197000"/>
    <n v="736000"/>
    <n v="2933000"/>
    <n v="0"/>
    <d v="2015-11-18T00:00:00"/>
  </r>
  <r>
    <s v="042"/>
    <s v="SANTA MONICA-MALIBU UNIFIED SCHOOL DISTRICT"/>
    <s v="010"/>
    <x v="9"/>
    <s v="011"/>
    <s v="CLASSROOM BUILDING RM 47"/>
    <s v="2435 16TH STREET"/>
    <s v="SANTA MONICA"/>
    <s v="CA"/>
    <s v="90405"/>
    <n v="1935"/>
    <n v="1555"/>
    <n v="442000"/>
    <n v="32000"/>
    <n v="474000"/>
    <n v="0"/>
    <d v="2015-11-18T00:00:00"/>
  </r>
  <r>
    <s v="042"/>
    <s v="SANTA MONICA-MALIBU UNIFIED SCHOOL DISTRICT"/>
    <s v="010"/>
    <x v="9"/>
    <s v="012"/>
    <s v="CLASSROOM BUILDING RMS 50-53"/>
    <s v="2436 16TH STREET"/>
    <s v="SANTA MONICA"/>
    <s v="CA"/>
    <s v="90405"/>
    <n v="1936"/>
    <n v="4757"/>
    <n v="1306000"/>
    <n v="99000"/>
    <n v="1405000"/>
    <n v="0"/>
    <d v="2015-11-18T00:00:00"/>
  </r>
  <r>
    <s v="042"/>
    <s v="SANTA MONICA-MALIBU UNIFIED SCHOOL DISTRICT"/>
    <s v="010"/>
    <x v="9"/>
    <s v="013"/>
    <s v="CLASSROOM BUILDING RMS 54-57"/>
    <s v="2437 16TH STREET"/>
    <s v="SANTA MONICA"/>
    <s v="CA"/>
    <s v="90405"/>
    <n v="1936"/>
    <n v="3900"/>
    <n v="1081000"/>
    <n v="82000"/>
    <n v="1163000"/>
    <n v="0"/>
    <d v="2015-11-18T00:00:00"/>
  </r>
  <r>
    <s v="042"/>
    <s v="SANTA MONICA-MALIBU UNIFIED SCHOOL DISTRICT"/>
    <s v="010"/>
    <x v="9"/>
    <s v="014"/>
    <s v="CLASSROOM BUILDING RMS 70-73"/>
    <s v="2438 16TH STREET"/>
    <s v="SANTA MONICA"/>
    <s v="CA"/>
    <s v="90405"/>
    <n v="1948"/>
    <n v="8632"/>
    <n v="2046000"/>
    <n v="180000"/>
    <n v="2226000"/>
    <n v="0"/>
    <d v="2015-11-18T00:00:00"/>
  </r>
  <r>
    <s v="042"/>
    <s v="SANTA MONICA-MALIBU UNIFIED SCHOOL DISTRICT"/>
    <s v="010"/>
    <x v="9"/>
    <s v="016"/>
    <s v="PRESCHOOL BUILDING"/>
    <s v="2439 16TH STREET"/>
    <s v="SANTA MONICA"/>
    <s v="CA"/>
    <s v="90405"/>
    <n v="1968"/>
    <n v="3400"/>
    <n v="939000"/>
    <n v="0"/>
    <n v="939000"/>
    <n v="0"/>
    <d v="2015-11-18T00:00:00"/>
  </r>
  <r>
    <s v="042"/>
    <s v="SANTA MONICA-MALIBU UNIFIED SCHOOL DISTRICT"/>
    <s v="010"/>
    <x v="9"/>
    <s v="017"/>
    <s v="CLASSROOM BUILDING RMS 80-82"/>
    <s v="2440 16TH STREET"/>
    <s v="SANTA MONICA"/>
    <s v="CA"/>
    <s v="90405"/>
    <n v="1968"/>
    <n v="3400"/>
    <n v="924000"/>
    <n v="0"/>
    <n v="924000"/>
    <n v="0"/>
    <d v="2015-11-18T00:00:00"/>
  </r>
  <r>
    <s v="042"/>
    <s v="SANTA MONICA-MALIBU UNIFIED SCHOOL DISTRICT"/>
    <s v="010"/>
    <x v="9"/>
    <s v="018"/>
    <s v="CLASSROOM BUILDING RMS 83-85"/>
    <s v="2441 16TH STREET"/>
    <s v="SANTA MONICA"/>
    <s v="CA"/>
    <s v="90405"/>
    <n v="1968"/>
    <n v="3400"/>
    <n v="939000"/>
    <n v="0"/>
    <n v="939000"/>
    <n v="0"/>
    <d v="2015-11-18T00:00:00"/>
  </r>
  <r>
    <s v="042"/>
    <s v="SANTA MONICA-MALIBU UNIFIED SCHOOL DISTRICT"/>
    <s v="010"/>
    <x v="9"/>
    <s v="019"/>
    <s v="CLASSROOM BUILDING RMS 86-88"/>
    <s v="2442 16TH STREET"/>
    <s v="SANTA MONICA"/>
    <s v="CA"/>
    <s v="90405"/>
    <n v="1968"/>
    <n v="3400"/>
    <n v="924000"/>
    <n v="0"/>
    <n v="924000"/>
    <n v="0"/>
    <d v="2015-11-18T00:00:00"/>
  </r>
  <r>
    <s v="042"/>
    <s v="SANTA MONICA-MALIBU UNIFIED SCHOOL DISTRICT"/>
    <s v="010"/>
    <x v="9"/>
    <s v="020"/>
    <s v="CLASSROOM BUILDING RMS 92-100"/>
    <s v="2443 16TH STREET"/>
    <s v="SANTA MONICA"/>
    <s v="CA"/>
    <s v="90405"/>
    <n v="1968"/>
    <n v="12960"/>
    <n v="3104000"/>
    <n v="271000"/>
    <n v="3375000"/>
    <n v="0"/>
    <d v="2015-11-18T00:00:00"/>
  </r>
  <r>
    <s v="042"/>
    <s v="SANTA MONICA-MALIBU UNIFIED SCHOOL DISTRICT"/>
    <s v="010"/>
    <x v="9"/>
    <s v="098"/>
    <s v="COVERED EATING AREA"/>
    <s v="2444 16TH STREET"/>
    <s v="SANTA MONICA"/>
    <s v="CA"/>
    <s v="90405"/>
    <n v="2012"/>
    <n v="1800"/>
    <n v="36000"/>
    <n v="0"/>
    <n v="36000"/>
    <n v="0"/>
    <d v="2015-11-18T00:00:00"/>
  </r>
  <r>
    <s v="042"/>
    <s v="SANTA MONICA-MALIBU UNIFIED SCHOOL DISTRICT"/>
    <s v="010"/>
    <x v="9"/>
    <s v="099"/>
    <s v="COVERED PASSAGES"/>
    <s v="2445 16TH STREET"/>
    <s v="SANTA MONICA"/>
    <s v="CA"/>
    <s v="90405"/>
    <n v="1939"/>
    <n v="14520"/>
    <n v="417000"/>
    <n v="0"/>
    <n v="417000"/>
    <n v="0"/>
    <d v="2015-11-18T00:00:00"/>
  </r>
  <r>
    <s v="042"/>
    <s v="SANTA MONICA-MALIBU UNIFIED SCHOOL DISTRICT"/>
    <s v="011"/>
    <x v="10"/>
    <s v="001"/>
    <s v="ADMINISTRATION/CLASSROOM BUILDING"/>
    <s v="1501 CALIFORNIA AVENUE"/>
    <s v="SANTA MONICA"/>
    <s v="CA"/>
    <s v="90403"/>
    <n v="1924"/>
    <n v="65615"/>
    <n v="15459000"/>
    <n v="1502000"/>
    <n v="16961000"/>
    <n v="6270"/>
    <d v="2015-11-18T00:00:00"/>
  </r>
  <r>
    <s v="042"/>
    <s v="SANTA MONICA-MALIBU UNIFIED SCHOOL DISTRICT"/>
    <s v="011"/>
    <x v="10"/>
    <s v="002"/>
    <s v="CAFETERIA BUILDING"/>
    <s v="1501 CALIFORNIA AVENUE"/>
    <s v="SANTA MONICA"/>
    <s v="CA"/>
    <s v="90403"/>
    <n v="1936"/>
    <n v="9300"/>
    <n v="2369000"/>
    <n v="292000"/>
    <n v="2661000"/>
    <n v="0"/>
    <d v="2015-11-18T00:00:00"/>
  </r>
  <r>
    <s v="042"/>
    <s v="SANTA MONICA-MALIBU UNIFIED SCHOOL DISTRICT"/>
    <s v="011"/>
    <x v="10"/>
    <s v="003"/>
    <s v="AUDITORIUM BUILDING"/>
    <s v="1501 CALIFORNIA AVENUE"/>
    <s v="SANTA MONICA"/>
    <s v="CA"/>
    <s v="90403"/>
    <n v="1969"/>
    <n v="11832"/>
    <n v="4154000"/>
    <n v="172000"/>
    <n v="4326000"/>
    <n v="0"/>
    <d v="2015-11-18T00:00:00"/>
  </r>
  <r>
    <s v="042"/>
    <s v="SANTA MONICA-MALIBU UNIFIED SCHOOL DISTRICT"/>
    <s v="011"/>
    <x v="10"/>
    <s v="004"/>
    <s v="CLASSROOM BUILDING RM 310"/>
    <s v="1501 CALIFORNIA AVENUE"/>
    <s v="SANTA MONICA"/>
    <s v="CA"/>
    <s v="90403"/>
    <n v="1936"/>
    <n v="1573"/>
    <n v="410000"/>
    <n v="33000"/>
    <n v="443000"/>
    <n v="0"/>
    <d v="2015-11-18T00:00:00"/>
  </r>
  <r>
    <s v="042"/>
    <s v="SANTA MONICA-MALIBU UNIFIED SCHOOL DISTRICT"/>
    <s v="011"/>
    <x v="10"/>
    <s v="005"/>
    <s v="CLASSROOM BUILDING RMS 311-324"/>
    <s v="1501 CALIFORNIA AVENUE"/>
    <s v="SANTA MONICA"/>
    <s v="CA"/>
    <s v="90403"/>
    <n v="1958"/>
    <n v="9016"/>
    <n v="2081000"/>
    <n v="188000"/>
    <n v="2269000"/>
    <n v="0"/>
    <d v="2015-11-18T00:00:00"/>
  </r>
  <r>
    <s v="042"/>
    <s v="SANTA MONICA-MALIBU UNIFIED SCHOOL DISTRICT"/>
    <s v="011"/>
    <x v="10"/>
    <s v="006"/>
    <s v="CLASSROOM BUILDING RMS 400-402"/>
    <s v="1501 CALIFORNIA AVENUE"/>
    <s v="SANTA MONICA"/>
    <s v="CA"/>
    <s v="90403"/>
    <n v="1958"/>
    <n v="7474"/>
    <n v="1695000"/>
    <n v="156000"/>
    <n v="1851000"/>
    <n v="0"/>
    <d v="2015-11-18T00:00:00"/>
  </r>
  <r>
    <s v="042"/>
    <s v="SANTA MONICA-MALIBU UNIFIED SCHOOL DISTRICT"/>
    <s v="011"/>
    <x v="10"/>
    <s v="007"/>
    <s v="CLASSROOM BUILDING RMS 501-510"/>
    <s v="1501 CALIFORNIA AVENUE"/>
    <s v="SANTA MONICA"/>
    <s v="CA"/>
    <s v="90403"/>
    <n v="1958"/>
    <n v="17289"/>
    <n v="4184000"/>
    <n v="361000"/>
    <n v="4545000"/>
    <n v="0"/>
    <d v="2015-11-18T00:00:00"/>
  </r>
  <r>
    <s v="042"/>
    <s v="SANTA MONICA-MALIBU UNIFIED SCHOOL DISTRICT"/>
    <s v="011"/>
    <x v="10"/>
    <s v="008"/>
    <s v="GYMNASIUM BUILDING"/>
    <s v="1501 CALIFORNIA AVENUE"/>
    <s v="SANTA MONICA"/>
    <s v="CA"/>
    <s v="90403"/>
    <n v="1958"/>
    <n v="14281"/>
    <n v="3851000"/>
    <n v="128000"/>
    <n v="3979000"/>
    <n v="0"/>
    <d v="2015-11-18T00:00:00"/>
  </r>
  <r>
    <s v="042"/>
    <s v="SANTA MONICA-MALIBU UNIFIED SCHOOL DISTRICT"/>
    <s v="011"/>
    <x v="10"/>
    <s v="009"/>
    <s v="NATATORIUM BUILDING"/>
    <s v="1501 CALIFORNIA AVENUE"/>
    <s v="SANTA MONICA"/>
    <s v="CA"/>
    <s v="90403"/>
    <n v="1953"/>
    <n v="15810"/>
    <n v="4272000"/>
    <n v="127000"/>
    <n v="4399000"/>
    <n v="0"/>
    <d v="2015-11-18T00:00:00"/>
  </r>
  <r>
    <s v="042"/>
    <s v="SANTA MONICA-MALIBU UNIFIED SCHOOL DISTRICT"/>
    <s v="011"/>
    <x v="10"/>
    <s v="010"/>
    <s v="NEW LIBRARY"/>
    <s v="1501 CALIFORNIA AVENUE"/>
    <s v="SANTA MONICA"/>
    <s v="CA"/>
    <s v="90403"/>
    <n v="2014"/>
    <n v="23868"/>
    <n v="10440000"/>
    <n v="1266000"/>
    <n v="11706000"/>
    <n v="0"/>
    <d v="2015-11-18T00:00:00"/>
  </r>
  <r>
    <s v="042"/>
    <s v="SANTA MONICA-MALIBU UNIFIED SCHOOL DISTRICT"/>
    <s v="011"/>
    <x v="10"/>
    <s v="099"/>
    <s v="COVERED PASSAGES"/>
    <s v="1501 CALIFORNIA AVENUE"/>
    <s v="SANTA MONICA"/>
    <s v="CA"/>
    <s v="90403"/>
    <n v="1970"/>
    <n v="9131"/>
    <n v="263000"/>
    <n v="0"/>
    <n v="263000"/>
    <n v="0"/>
    <d v="2015-11-18T00:00:00"/>
  </r>
  <r>
    <s v="042"/>
    <s v="SANTA MONICA-MALIBU UNIFIED SCHOOL DISTRICT"/>
    <s v="011A"/>
    <x v="11"/>
    <s v="001"/>
    <s v="LINCOLN CHILD DEVELOPMENT CENTER"/>
    <s v="1532 CALIFORNIA AVE"/>
    <s v="SANTA MONICA"/>
    <s v="CA"/>
    <s v="90403"/>
    <n v="1965"/>
    <n v="5018"/>
    <n v="1133000"/>
    <n v="152000"/>
    <n v="1285000"/>
    <n v="0"/>
    <d v="2015-11-19T00:00:00"/>
  </r>
  <r>
    <s v="042"/>
    <s v="SANTA MONICA-MALIBU UNIFIED SCHOOL DISTRICT"/>
    <s v="012"/>
    <x v="12"/>
    <s v="012"/>
    <s v="POOL BUILDING"/>
    <s v="30215 MORNING VIEW DRIVE"/>
    <s v="MALIBU"/>
    <s v="CA"/>
    <s v="90265"/>
    <n v="1966"/>
    <n v="648"/>
    <n v="151000"/>
    <n v="27000"/>
    <n v="178000"/>
    <n v="0"/>
    <d v="2015-11-20T00:00:00"/>
  </r>
  <r>
    <s v="042"/>
    <s v="SANTA MONICA-MALIBU UNIFIED SCHOOL DISTRICT"/>
    <s v="012"/>
    <x v="12"/>
    <s v="015"/>
    <s v="RESTROOM BUILDING"/>
    <s v="30215 MORNING VIEW DRIVE"/>
    <s v="MALIBU"/>
    <s v="CA"/>
    <s v="90265"/>
    <n v="2012"/>
    <n v="747"/>
    <n v="237000"/>
    <n v="4000"/>
    <n v="241000"/>
    <n v="0"/>
    <d v="2015-11-20T00:00:00"/>
  </r>
  <r>
    <s v="042"/>
    <s v="SANTA MONICA-MALIBU UNIFIED SCHOOL DISTRICT"/>
    <s v="012"/>
    <x v="12"/>
    <s v="009"/>
    <s v="GYMNASIUM BUILDING"/>
    <s v="30215 MORNING VIEW DRIVE"/>
    <s v="MALIBU"/>
    <s v="CA"/>
    <s v="90265"/>
    <n v="2002"/>
    <n v="39430"/>
    <n v="12425000"/>
    <n v="352000"/>
    <n v="12777000"/>
    <n v="0"/>
    <d v="2015-11-20T00:00:00"/>
  </r>
  <r>
    <s v="042"/>
    <s v="SANTA MONICA-MALIBU UNIFIED SCHOOL DISTRICT"/>
    <s v="012"/>
    <x v="12"/>
    <s v="011"/>
    <s v="CLASSROOM BUILDING RMS 604-606"/>
    <s v="30215 MORNING VIEW DRIVE"/>
    <s v="MALIBU"/>
    <s v="CA"/>
    <s v="90265"/>
    <n v="2003"/>
    <n v="6720"/>
    <n v="1798000"/>
    <n v="202000"/>
    <n v="2000000"/>
    <n v="0"/>
    <d v="2015-11-20T00:00:00"/>
  </r>
  <r>
    <s v="042"/>
    <s v="SANTA MONICA-MALIBU UNIFIED SCHOOL DISTRICT"/>
    <s v="012"/>
    <x v="12"/>
    <s v="010"/>
    <s v="CLASSRM BUILDING RMS 601-603,621-623"/>
    <s v="30215 MORNING VIEW DRIVE"/>
    <s v="MALIBU"/>
    <s v="CA"/>
    <s v="90265"/>
    <n v="2003"/>
    <n v="5760"/>
    <n v="1833000"/>
    <n v="173000"/>
    <n v="2006000"/>
    <n v="0"/>
    <d v="2015-11-20T00:00:00"/>
  </r>
  <r>
    <s v="042"/>
    <s v="SANTA MONICA-MALIBU UNIFIED SCHOOL DISTRICT"/>
    <s v="012"/>
    <x v="12"/>
    <s v="002"/>
    <s v="AUDITORIUM/CAFETERIA BUILDING H"/>
    <s v="30215 MORNING VIEW DRIVE"/>
    <s v="MALIBU"/>
    <s v="CA"/>
    <s v="90265"/>
    <n v="1963"/>
    <n v="13603"/>
    <n v="4721000"/>
    <n v="428000"/>
    <n v="5149000"/>
    <n v="0"/>
    <d v="2015-11-20T00:00:00"/>
  </r>
  <r>
    <s v="042"/>
    <s v="SANTA MONICA-MALIBU UNIFIED SCHOOL DISTRICT"/>
    <s v="012"/>
    <x v="12"/>
    <s v="006"/>
    <s v="MUSIC BUILDING F"/>
    <s v="30215 MORNING VIEW DRIVE"/>
    <s v="MALIBU"/>
    <s v="CA"/>
    <s v="90265"/>
    <n v="1963"/>
    <n v="6802"/>
    <n v="1551000"/>
    <n v="262000"/>
    <n v="1813000"/>
    <n v="0"/>
    <d v="2015-11-20T00:00:00"/>
  </r>
  <r>
    <s v="042"/>
    <s v="SANTA MONICA-MALIBU UNIFIED SCHOOL DISTRICT"/>
    <s v="012"/>
    <x v="12"/>
    <s v="008"/>
    <s v="CLASSROOM BUILDING I"/>
    <s v="30215 MORNING VIEW DRIVE"/>
    <s v="MALIBU"/>
    <s v="CA"/>
    <s v="90265"/>
    <n v="1963"/>
    <n v="4544"/>
    <n v="1006000"/>
    <n v="137000"/>
    <n v="1143000"/>
    <n v="0"/>
    <d v="2015-11-20T00:00:00"/>
  </r>
  <r>
    <s v="042"/>
    <s v="SANTA MONICA-MALIBU UNIFIED SCHOOL DISTRICT"/>
    <s v="012"/>
    <x v="12"/>
    <s v="007"/>
    <s v="INDUSTRIAL ART BUILDING G"/>
    <s v="30215 MORNING VIEW DRIVE"/>
    <s v="MALIBU"/>
    <s v="CA"/>
    <s v="90265"/>
    <n v="1963"/>
    <n v="10035"/>
    <n v="2205000"/>
    <n v="302000"/>
    <n v="2507000"/>
    <n v="0"/>
    <d v="2015-11-20T00:00:00"/>
  </r>
  <r>
    <s v="042"/>
    <s v="SANTA MONICA-MALIBU UNIFIED SCHOOL DISTRICT"/>
    <s v="012"/>
    <x v="12"/>
    <s v="004"/>
    <s v="CLASSROOM BUILDING D"/>
    <s v="30215 MORNING VIEW DRIVE"/>
    <s v="MALIBU"/>
    <s v="CA"/>
    <s v="90265"/>
    <n v="1963"/>
    <n v="26938"/>
    <n v="7046000"/>
    <n v="809000"/>
    <n v="7855000"/>
    <n v="0"/>
    <d v="2015-11-20T00:00:00"/>
  </r>
  <r>
    <s v="042"/>
    <s v="SANTA MONICA-MALIBU UNIFIED SCHOOL DISTRICT"/>
    <s v="012"/>
    <x v="12"/>
    <s v="013"/>
    <s v="RESTROOM BUILDING"/>
    <s v="30215 MORNING VIEW DRIVE"/>
    <s v="MALIBU"/>
    <s v="CA"/>
    <s v="90265"/>
    <n v="1963"/>
    <n v="420"/>
    <n v="161000"/>
    <n v="2000"/>
    <n v="163000"/>
    <n v="0"/>
    <d v="2015-11-20T00:00:00"/>
  </r>
  <r>
    <s v="042"/>
    <s v="SANTA MONICA-MALIBU UNIFIED SCHOOL DISTRICT"/>
    <s v="012"/>
    <x v="12"/>
    <s v="014"/>
    <s v="STUDENT STORE BUILDING"/>
    <s v="30215 MORNING VIEW DRIVE"/>
    <s v="MALIBU"/>
    <s v="CA"/>
    <s v="90265"/>
    <n v="1963"/>
    <n v="490"/>
    <n v="152000"/>
    <n v="6000"/>
    <n v="158000"/>
    <n v="0"/>
    <d v="2015-11-20T00:00:00"/>
  </r>
  <r>
    <s v="042"/>
    <s v="SANTA MONICA-MALIBU UNIFIED SCHOOL DISTRICT"/>
    <s v="012"/>
    <x v="12"/>
    <s v="099"/>
    <s v="COVERED PASSAGES"/>
    <s v="30215 MORNING VIEW DRIVE"/>
    <s v="MALIBU"/>
    <s v="CA"/>
    <s v="90265"/>
    <n v="1966"/>
    <n v="6390"/>
    <n v="184000"/>
    <n v="0"/>
    <n v="184000"/>
    <n v="0"/>
    <d v="2015-11-20T00:00:00"/>
  </r>
  <r>
    <s v="042"/>
    <s v="SANTA MONICA-MALIBU UNIFIED SCHOOL DISTRICT"/>
    <s v="012"/>
    <x v="12"/>
    <s v="901"/>
    <s v="PORTABLE CLASSROOM BUILDING RM 511"/>
    <s v="30215 MORNING VIEW DRIVE"/>
    <s v="MALIBU"/>
    <s v="CA"/>
    <s v="90265"/>
    <n v="1998"/>
    <n v="960"/>
    <n v="96000"/>
    <n v="21000"/>
    <n v="117000"/>
    <n v="0"/>
    <d v="2015-11-20T00:00:00"/>
  </r>
  <r>
    <s v="042"/>
    <s v="SANTA MONICA-MALIBU UNIFIED SCHOOL DISTRICT"/>
    <s v="012"/>
    <x v="12"/>
    <s v="902"/>
    <s v="PORTABLE CLASSROOM BUILDING RM 512"/>
    <s v="30215 MORNING VIEW DRIVE"/>
    <s v="MALIBU"/>
    <s v="CA"/>
    <s v="90265"/>
    <n v="1998"/>
    <n v="960"/>
    <n v="96000"/>
    <n v="21000"/>
    <n v="117000"/>
    <n v="0"/>
    <d v="2015-11-20T00:00:00"/>
  </r>
  <r>
    <s v="042"/>
    <s v="SANTA MONICA-MALIBU UNIFIED SCHOOL DISTRICT"/>
    <s v="012"/>
    <x v="12"/>
    <s v="903"/>
    <s v="PORTABLE CLASSROOM BUILDING RM 513"/>
    <s v="30215 MORNING VIEW DRIVE"/>
    <s v="MALIBU"/>
    <s v="CA"/>
    <s v="90265"/>
    <n v="1998"/>
    <n v="960"/>
    <n v="96000"/>
    <n v="21000"/>
    <n v="117000"/>
    <n v="0"/>
    <d v="2015-11-20T00:00:00"/>
  </r>
  <r>
    <s v="042"/>
    <s v="SANTA MONICA-MALIBU UNIFIED SCHOOL DISTRICT"/>
    <s v="012"/>
    <x v="12"/>
    <s v="904"/>
    <s v="PORTABLE CLASSROOM BUILDING RM PE COACH"/>
    <s v="30215 MORNING VIEW DRIVE"/>
    <s v="MALIBU"/>
    <s v="CA"/>
    <s v="90265"/>
    <n v="1998"/>
    <n v="320"/>
    <n v="32000"/>
    <n v="21000"/>
    <n v="53000"/>
    <n v="0"/>
    <d v="2015-11-20T00:00:00"/>
  </r>
  <r>
    <s v="042"/>
    <s v="SANTA MONICA-MALIBU UNIFIED SCHOOL DISTRICT"/>
    <s v="012"/>
    <x v="12"/>
    <s v="905"/>
    <s v="SWIMMING POOL"/>
    <s v="30215 MORNING VIEW DRIVE"/>
    <s v="MALIBU"/>
    <s v="CA"/>
    <s v="90265"/>
    <n v="1998"/>
    <n v="0"/>
    <n v="597000"/>
    <n v="0"/>
    <n v="597000"/>
    <n v="0"/>
    <d v="2015-11-20T00:00:00"/>
  </r>
  <r>
    <s v="042"/>
    <s v="SANTA MONICA-MALIBU UNIFIED SCHOOL DISTRICT"/>
    <s v="012"/>
    <x v="12"/>
    <s v="016"/>
    <s v="ELEVATOR TOWER/ELECTRICAL CLOSET"/>
    <s v="30215 MORNING VIEW DRIVE"/>
    <s v="MALIBU"/>
    <s v="CA"/>
    <s v="90265"/>
    <n v="1998"/>
    <n v="7970"/>
    <n v="229000"/>
    <n v="0"/>
    <n v="229000"/>
    <n v="0"/>
    <d v="2015-11-20T00:00:00"/>
  </r>
  <r>
    <s v="042"/>
    <s v="SANTA MONICA-MALIBU UNIFIED SCHOOL DISTRICT"/>
    <s v="012"/>
    <x v="12"/>
    <s v="2264223"/>
    <s v="BUILDING E"/>
    <s v="30215 MORNING VIEW DRIVE"/>
    <s v="MALIBU"/>
    <s v="CA"/>
    <s v="90265"/>
    <n v="2019"/>
    <n v="19379"/>
    <n v="8900000"/>
    <n v="968950"/>
    <n v="9868950"/>
    <n v="0"/>
    <m/>
  </r>
  <r>
    <s v="042"/>
    <s v="SANTA MONICA-MALIBU UNIFIED SCHOOL DISTRICT"/>
    <s v="014"/>
    <x v="13"/>
    <s v="001"/>
    <s v="ADMINISTRATION BUILDING"/>
    <s v="601 PICO BOULEVARD"/>
    <s v="SANTA MONICA"/>
    <s v="CA"/>
    <s v="90405"/>
    <n v="1959"/>
    <n v="12523"/>
    <n v="3935000"/>
    <n v="519000"/>
    <n v="4454000"/>
    <n v="3216"/>
    <d v="2015-11-15T00:00:00"/>
  </r>
  <r>
    <s v="042"/>
    <s v="SANTA MONICA-MALIBU UNIFIED SCHOOL DISTRICT"/>
    <s v="014"/>
    <x v="13"/>
    <s v="002"/>
    <s v="MULTIPURPOSE BUILDING"/>
    <s v="601 PICO BOULEVARD"/>
    <s v="SANTA MONICA"/>
    <s v="CA"/>
    <s v="90405"/>
    <n v="1959"/>
    <n v="14177"/>
    <n v="4108000"/>
    <n v="446000"/>
    <n v="4554000"/>
    <n v="0"/>
    <d v="2015-11-15T00:00:00"/>
  </r>
  <r>
    <s v="042"/>
    <s v="SANTA MONICA-MALIBU UNIFIED SCHOOL DISTRICT"/>
    <s v="014"/>
    <x v="13"/>
    <s v="003"/>
    <s v="BARNUM HALL BUILDING"/>
    <s v="601 PICO BOULEVARD"/>
    <s v="SANTA MONICA"/>
    <s v="CA"/>
    <s v="90405"/>
    <n v="1937"/>
    <n v="21668"/>
    <n v="9471000"/>
    <n v="314000"/>
    <n v="9785000"/>
    <n v="0"/>
    <d v="2015-11-15T00:00:00"/>
  </r>
  <r>
    <s v="042"/>
    <s v="SANTA MONICA-MALIBU UNIFIED SCHOOL DISTRICT"/>
    <s v="014"/>
    <x v="13"/>
    <s v="004"/>
    <s v="MUSIC BUILDING"/>
    <s v="601 PICO BOULEVARD"/>
    <s v="SANTA MONICA"/>
    <s v="CA"/>
    <s v="90405"/>
    <n v="1959"/>
    <n v="17808"/>
    <n v="5411000"/>
    <n v="685000"/>
    <n v="6096000"/>
    <n v="0"/>
    <d v="2015-11-15T00:00:00"/>
  </r>
  <r>
    <s v="042"/>
    <s v="SANTA MONICA-MALIBU UNIFIED SCHOOL DISTRICT"/>
    <s v="014"/>
    <x v="13"/>
    <s v="005"/>
    <s v="NORTH GYMNASIUM BUILDING"/>
    <s v="601 PICO BOULEVARD"/>
    <s v="SANTA MONICA"/>
    <s v="CA"/>
    <s v="90405"/>
    <n v="1935"/>
    <n v="27416"/>
    <n v="9485000"/>
    <n v="245000"/>
    <n v="9730000"/>
    <n v="4444"/>
    <d v="2015-11-15T00:00:00"/>
  </r>
  <r>
    <s v="042"/>
    <s v="SANTA MONICA-MALIBU UNIFIED SCHOOL DISTRICT"/>
    <s v="014"/>
    <x v="13"/>
    <s v="006"/>
    <s v="DRAKE NATATORIUM"/>
    <s v="601 PICO BOULEVARD"/>
    <s v="SANTA MONICA"/>
    <s v="CA"/>
    <s v="90405"/>
    <n v="1971"/>
    <n v="17012"/>
    <n v="5406000"/>
    <n v="137000"/>
    <n v="5543000"/>
    <n v="0"/>
    <d v="2015-11-15T00:00:00"/>
  </r>
  <r>
    <s v="042"/>
    <s v="SANTA MONICA-MALIBU UNIFIED SCHOOL DISTRICT"/>
    <s v="014"/>
    <x v="13"/>
    <s v="007"/>
    <s v="SOUTH GYMNASIUM BUILDING"/>
    <s v="601 PICO BOULEVARD"/>
    <s v="SANTA MONICA"/>
    <s v="CA"/>
    <s v="90405"/>
    <n v="1933"/>
    <n v="26904"/>
    <n v="9207000"/>
    <n v="320000"/>
    <n v="9527000"/>
    <n v="8912"/>
    <d v="2015-11-15T00:00:00"/>
  </r>
  <r>
    <s v="042"/>
    <s v="SANTA MONICA-MALIBU UNIFIED SCHOOL DISTRICT"/>
    <s v="014"/>
    <x v="13"/>
    <s v="008"/>
    <s v="BUSINESS BUILDING"/>
    <s v="601 PICO BOULEVARD"/>
    <s v="SANTA MONICA"/>
    <s v="CA"/>
    <s v="90405"/>
    <n v="1939"/>
    <n v="21629"/>
    <n v="6136000"/>
    <n v="650000"/>
    <n v="6786000"/>
    <n v="1502"/>
    <d v="2015-11-15T00:00:00"/>
  </r>
  <r>
    <s v="042"/>
    <s v="SANTA MONICA-MALIBU UNIFIED SCHOOL DISTRICT"/>
    <s v="014"/>
    <x v="13"/>
    <s v="009"/>
    <s v="HISTORY BUILDING"/>
    <s v="601 PICO BOULEVARD"/>
    <s v="SANTA MONICA"/>
    <s v="CA"/>
    <s v="90405"/>
    <n v="1913"/>
    <n v="36972"/>
    <n v="11063000"/>
    <n v="1264000"/>
    <n v="12327000"/>
    <n v="5098"/>
    <d v="2015-11-15T00:00:00"/>
  </r>
  <r>
    <s v="042"/>
    <s v="SANTA MONICA-MALIBU UNIFIED SCHOOL DISTRICT"/>
    <s v="014"/>
    <x v="13"/>
    <s v="010"/>
    <s v="ART BUILDING"/>
    <s v="601 PICO BOULEVARD"/>
    <s v="SANTA MONICA"/>
    <s v="CA"/>
    <s v="90405"/>
    <n v="1913"/>
    <n v="11508"/>
    <n v="3328000"/>
    <n v="346000"/>
    <n v="3674000"/>
    <n v="0"/>
    <d v="2015-11-15T00:00:00"/>
  </r>
  <r>
    <s v="042"/>
    <s v="SANTA MONICA-MALIBU UNIFIED SCHOOL DISTRICT"/>
    <s v="014"/>
    <x v="13"/>
    <s v="011"/>
    <s v="CLASSROOM BUILDING"/>
    <s v="601 PICO BOULEVARD"/>
    <s v="SANTA MONICA"/>
    <s v="CA"/>
    <s v="90405"/>
    <n v="1913"/>
    <n v="1376"/>
    <n v="422000"/>
    <n v="41000"/>
    <n v="463000"/>
    <n v="0"/>
    <d v="2015-11-15T00:00:00"/>
  </r>
  <r>
    <s v="042"/>
    <s v="SANTA MONICA-MALIBU UNIFIED SCHOOL DISTRICT"/>
    <s v="014"/>
    <x v="13"/>
    <s v="012"/>
    <s v="ENGLISH BUILDING"/>
    <s v="601 PICO BOULEVARD"/>
    <s v="SANTA MONICA"/>
    <s v="CA"/>
    <s v="90405"/>
    <n v="1913"/>
    <n v="27701"/>
    <n v="8173000"/>
    <n v="832000"/>
    <n v="9005000"/>
    <n v="3897"/>
    <d v="2015-11-15T00:00:00"/>
  </r>
  <r>
    <s v="042"/>
    <s v="SANTA MONICA-MALIBU UNIFIED SCHOOL DISTRICT"/>
    <s v="014"/>
    <x v="13"/>
    <s v="013"/>
    <s v="LANGUAGE BUILDING"/>
    <s v="601 PICO BOULEVARD"/>
    <s v="SANTA MONICA"/>
    <s v="CA"/>
    <s v="90405"/>
    <n v="1972"/>
    <n v="35925"/>
    <n v="8436000"/>
    <n v="1079000"/>
    <n v="9515000"/>
    <n v="0"/>
    <d v="2015-11-15T00:00:00"/>
  </r>
  <r>
    <s v="042"/>
    <s v="SANTA MONICA-MALIBU UNIFIED SCHOOL DISTRICT"/>
    <s v="014"/>
    <x v="13"/>
    <s v="016"/>
    <s v="CLASSROOM BUILDING"/>
    <s v="601 PICO BOULVARD"/>
    <s v="SANTA MONICA"/>
    <s v="CA"/>
    <s v="90405"/>
    <n v="2014"/>
    <n v="97000"/>
    <n v="44864000"/>
    <n v="2914000"/>
    <n v="47778000"/>
    <n v="0"/>
    <d v="2015-11-15T00:00:00"/>
  </r>
  <r>
    <s v="042"/>
    <s v="SANTA MONICA-MALIBU UNIFIED SCHOOL DISTRICT"/>
    <s v="014"/>
    <x v="13"/>
    <s v="099"/>
    <s v="COVERED PASSAGES"/>
    <s v="601 PICO BOULEVARD"/>
    <s v="SANTA MONICA"/>
    <s v="CA"/>
    <s v="90405"/>
    <n v="2000"/>
    <n v="1900"/>
    <n v="55000"/>
    <n v="0"/>
    <n v="55000"/>
    <n v="0"/>
    <d v="2015-11-15T00:00:00"/>
  </r>
  <r>
    <s v="042"/>
    <s v="SANTA MONICA-MALIBU UNIFIED SCHOOL DISTRICT"/>
    <s v="014"/>
    <x v="13"/>
    <s v="950821"/>
    <s v="OLYMPIC SPUR BUILDING"/>
    <s v="601 PICO BOLEVARD"/>
    <s v="SANTA MONICA"/>
    <s v="CA"/>
    <s v="90404"/>
    <n v="2019"/>
    <n v="959"/>
    <n v="588000"/>
    <n v="47950"/>
    <n v="635950"/>
    <n v="0"/>
    <m/>
  </r>
  <r>
    <s v="042"/>
    <s v="SANTA MONICA-MALIBU UNIFIED SCHOOL DISTRICT"/>
    <s v="015"/>
    <x v="14"/>
    <s v="001"/>
    <s v="CHILD DEVELOPMENT SERVICES BUILDING"/>
    <s v="2802 4TH STREET"/>
    <s v="SANTA MONICA"/>
    <s v="CA"/>
    <s v="90405"/>
    <n v="1946"/>
    <n v="10100"/>
    <n v="3191000"/>
    <n v="0"/>
    <n v="3191000"/>
    <n v="5685"/>
    <d v="2015-11-18T00:00:00"/>
  </r>
  <r>
    <s v="042"/>
    <s v="SANTA MONICA-MALIBU UNIFIED SCHOOL DISTRICT"/>
    <s v="015"/>
    <x v="14"/>
    <s v="003"/>
    <s v="CLASSROOM BUILDING RMS 1-3"/>
    <s v="2804 4TH STREET"/>
    <s v="SANTA MONICA"/>
    <s v="CA"/>
    <s v="90405"/>
    <n v="1946"/>
    <n v="2280"/>
    <n v="612000"/>
    <n v="69000"/>
    <n v="681000"/>
    <n v="0"/>
    <d v="2015-11-18T00:00:00"/>
  </r>
  <r>
    <s v="042"/>
    <s v="SANTA MONICA-MALIBU UNIFIED SCHOOL DISTRICT"/>
    <s v="015"/>
    <x v="14"/>
    <s v="002"/>
    <s v="MULTIPURPOSE/CLASSROOM BUILDING"/>
    <s v="2803 4TH STREET"/>
    <s v="SANTA MONICA"/>
    <s v="CA"/>
    <s v="90405"/>
    <n v="1946"/>
    <n v="7972"/>
    <n v="2172000"/>
    <n v="251000"/>
    <n v="2423000"/>
    <n v="0"/>
    <d v="2015-11-18T00:00:00"/>
  </r>
  <r>
    <s v="042"/>
    <s v="SANTA MONICA-MALIBU UNIFIED SCHOOL DISTRICT"/>
    <s v="015"/>
    <x v="14"/>
    <s v="099"/>
    <s v="COVERED PASSAGES"/>
    <s v="2805 4TH STREET"/>
    <s v="SANTA MONICA"/>
    <s v="CA"/>
    <s v="90405"/>
    <n v="1946"/>
    <n v="1357"/>
    <n v="42000"/>
    <n v="0"/>
    <n v="42000"/>
    <n v="0"/>
    <d v="2015-11-19T00:00:00"/>
  </r>
  <r>
    <s v="042"/>
    <s v="SANTA MONICA-MALIBU UNIFIED SCHOOL DISTRICT"/>
    <s v="018"/>
    <x v="15"/>
    <s v="001"/>
    <s v="CHILD CARE CENTER (LEASED)"/>
    <s v="401 ASHLAND AVENUE"/>
    <s v="SANTA MONICA"/>
    <s v="CA"/>
    <s v="90405"/>
    <n v="1946"/>
    <n v="5840"/>
    <n v="1321000"/>
    <n v="0"/>
    <n v="1321000"/>
    <n v="0"/>
    <d v="2015-11-19T00:00:00"/>
  </r>
  <r>
    <s v="042"/>
    <s v="SANTA MONICA-MALIBU UNIFIED SCHOOL DISTRICT"/>
    <s v="018"/>
    <x v="15"/>
    <s v="002"/>
    <s v="(LEASED) CHILD CARE CENTER BLDG"/>
    <s v="401 ASHLAND AVENUE"/>
    <s v="SANTA MONICA"/>
    <s v="CA"/>
    <s v="90405"/>
    <n v="1946"/>
    <n v="2852"/>
    <n v="745000"/>
    <n v="0"/>
    <n v="745000"/>
    <n v="0"/>
    <d v="2015-11-19T00:00:00"/>
  </r>
  <r>
    <s v="042"/>
    <s v="SANTA MONICA-MALIBU UNIFIED SCHOOL DISTRICT"/>
    <s v="018"/>
    <x v="15"/>
    <s v="003"/>
    <s v="STUDIO (LEASED)"/>
    <s v="401 ASHLAND AVENUE"/>
    <s v="SANTA MONICA"/>
    <s v="CA"/>
    <s v="90405"/>
    <n v="2000"/>
    <n v="646"/>
    <n v="185000"/>
    <n v="0"/>
    <n v="185000"/>
    <n v="0"/>
    <d v="2015-11-19T00:00:00"/>
  </r>
  <r>
    <s v="042"/>
    <s v="SANTA MONICA-MALIBU UNIFIED SCHOOL DISTRICT"/>
    <s v="020"/>
    <x v="16"/>
    <s v="001"/>
    <s v="DISTRICT OFFICE (LEASED BUILDING)"/>
    <s v="1651 16TH STREET"/>
    <s v="SANTA MONICA"/>
    <s v="CA"/>
    <s v="90405"/>
    <n v="1985"/>
    <n v="0"/>
    <n v="0"/>
    <n v="2654000"/>
    <n v="2654000"/>
    <n v="0"/>
    <d v="2015-11-20T00:00:00"/>
  </r>
  <r>
    <s v="042"/>
    <s v="SANTA MONICA-MALIBU UNIFIED SCHOOL DISTRICT"/>
    <s v="021"/>
    <x v="17"/>
    <s v="001"/>
    <s v="BUS YARD OFFICE &amp; GARAGE (LEASED BUILDING)"/>
    <s v="1899 OLYMPIC BOULEVARD"/>
    <s v="SANTA MONICA"/>
    <s v="CA"/>
    <s v="90404"/>
    <n v="1970"/>
    <n v="5776"/>
    <n v="204000"/>
    <n v="183000"/>
    <n v="387000"/>
    <n v="0"/>
    <d v="2015-11-18T00:00:00"/>
  </r>
  <r>
    <s v="042"/>
    <s v="SANTA MONICA-MALIBU UNIFIED SCHOOL DISTRICT"/>
    <s v="022"/>
    <x v="18"/>
    <s v="001"/>
    <s v="MAINTENANCE BUILDING"/>
    <s v="30215A MORNING VIEW DRIVE"/>
    <s v="MALIBU"/>
    <s v="CA"/>
    <s v="90265"/>
    <n v="1970"/>
    <n v="3402"/>
    <n v="418000"/>
    <n v="101000"/>
    <n v="519000"/>
    <n v="0"/>
    <d v="2015-11-18T00:00:00"/>
  </r>
  <r>
    <s v="042"/>
    <s v="SANTA MONICA-MALIBU UNIFIED SCHOOL DISTRICT"/>
    <s v="022"/>
    <x v="18"/>
    <s v="002"/>
    <s v="BUS GARAGE BUILDING"/>
    <s v="30215A MORNING VIEW DRIVE"/>
    <s v="MALIBU"/>
    <s v="CA"/>
    <s v="90265"/>
    <n v="1970"/>
    <n v="6600"/>
    <n v="758000"/>
    <n v="196000"/>
    <n v="954000"/>
    <n v="0"/>
    <d v="2015-11-18T00:00:00"/>
  </r>
  <r>
    <s v="042"/>
    <s v="SANTA MONICA-MALIBU UNIFIED SCHOOL DISTRICT"/>
    <s v="023"/>
    <x v="19"/>
    <s v="001"/>
    <s v="ADMINISTRATION/CLASSROOM BUILDING RMS"/>
    <s v="6955 FERNHILL DRIVE"/>
    <s v="MALIBU"/>
    <s v="CA"/>
    <s v="90265"/>
    <n v="1967"/>
    <n v="8872"/>
    <n v="2270000"/>
    <n v="269000"/>
    <n v="2539000"/>
    <n v="0"/>
    <d v="2015-11-15T00:00:00"/>
  </r>
  <r>
    <s v="042"/>
    <s v="SANTA MONICA-MALIBU UNIFIED SCHOOL DISTRICT"/>
    <s v="023"/>
    <x v="19"/>
    <s v="002"/>
    <s v="MULTIPURPOSE BUILDING"/>
    <s v="6955 FERNHILL DRIVE"/>
    <s v="MALIBU"/>
    <s v="CA"/>
    <s v="90265"/>
    <n v="1967"/>
    <n v="5584"/>
    <n v="1669000"/>
    <n v="175000"/>
    <n v="1844000"/>
    <n v="0"/>
    <d v="2015-11-15T00:00:00"/>
  </r>
  <r>
    <s v="042"/>
    <s v="SANTA MONICA-MALIBU UNIFIED SCHOOL DISTRICT"/>
    <s v="023"/>
    <x v="19"/>
    <s v="003"/>
    <s v="LIBRARY BUILDING"/>
    <s v="6955 FERNHILL DRIVE"/>
    <s v="MALIBU"/>
    <s v="CA"/>
    <s v="90265"/>
    <n v="1967"/>
    <n v="3581"/>
    <n v="1015000"/>
    <n v="322000"/>
    <n v="1337000"/>
    <n v="0"/>
    <d v="2015-11-15T00:00:00"/>
  </r>
  <r>
    <s v="042"/>
    <s v="SANTA MONICA-MALIBU UNIFIED SCHOOL DISTRICT"/>
    <s v="023"/>
    <x v="19"/>
    <s v="004"/>
    <s v="CLASSROOM BUILDING RMS 3-9"/>
    <s v="6955 FERNHILL DRIVE"/>
    <s v="MALIBU"/>
    <s v="CA"/>
    <s v="90265"/>
    <n v="1967"/>
    <n v="7458"/>
    <n v="2117000"/>
    <n v="226000"/>
    <n v="2343000"/>
    <n v="0"/>
    <d v="2015-11-16T00:00:00"/>
  </r>
  <r>
    <s v="042"/>
    <s v="SANTA MONICA-MALIBU UNIFIED SCHOOL DISTRICT"/>
    <s v="023"/>
    <x v="19"/>
    <s v="005"/>
    <s v="CLASSROOM BUILDING RMS 10-12"/>
    <s v="6955 FERNHILL DRIVE"/>
    <s v="MALIBU"/>
    <s v="CA"/>
    <s v="90265"/>
    <n v="1967"/>
    <n v="3020"/>
    <n v="794000"/>
    <n v="91000"/>
    <n v="885000"/>
    <n v="0"/>
    <d v="2015-11-16T00:00:00"/>
  </r>
  <r>
    <s v="042"/>
    <s v="SANTA MONICA-MALIBU UNIFIED SCHOOL DISTRICT"/>
    <s v="023"/>
    <x v="19"/>
    <s v="006"/>
    <s v="CLASSROOM BUILDING RMS 13-18"/>
    <s v="6955 FERNHILL DRIVE"/>
    <s v="MALIBU"/>
    <s v="CA"/>
    <s v="90265"/>
    <n v="1967"/>
    <n v="6168"/>
    <n v="1705000"/>
    <n v="187000"/>
    <n v="1892000"/>
    <n v="0"/>
    <d v="2015-11-16T00:00:00"/>
  </r>
  <r>
    <s v="042"/>
    <s v="SANTA MONICA-MALIBU UNIFIED SCHOOL DISTRICT"/>
    <s v="023"/>
    <x v="19"/>
    <s v="098"/>
    <s v="COVERED EATING AREA"/>
    <s v="6955 FERNHILL DRIVE"/>
    <s v="MALIBU"/>
    <s v="CA"/>
    <s v="90265"/>
    <n v="1972"/>
    <n v="4455"/>
    <n v="165000"/>
    <n v="0"/>
    <n v="165000"/>
    <n v="0"/>
    <d v="2015-11-16T00:00:00"/>
  </r>
  <r>
    <s v="042"/>
    <s v="SANTA MONICA-MALIBU UNIFIED SCHOOL DISTRICT"/>
    <s v="023"/>
    <x v="19"/>
    <s v="099"/>
    <s v="COVERED PASSAGES"/>
    <s v="6955 FERNHILL DRIVE"/>
    <s v="MALIBU"/>
    <s v="CA"/>
    <s v="90265"/>
    <n v="1972"/>
    <n v="5360"/>
    <n v="154000"/>
    <n v="0"/>
    <n v="154000"/>
    <n v="0"/>
    <d v="2015-11-16T00:00:00"/>
  </r>
  <r>
    <s v="042"/>
    <s v="SANTA MONICA-MALIBU UNIFIED SCHOOL DISTRICT"/>
    <s v="024"/>
    <x v="20"/>
    <s v="001"/>
    <s v="ADMINISTRATION/MEDIA BUILDING"/>
    <s v="2526 6TH STREET"/>
    <s v="SANTA MONICA"/>
    <s v="CA"/>
    <s v="90405"/>
    <n v="1996"/>
    <n v="8720"/>
    <n v="2327000"/>
    <n v="264000"/>
    <n v="2591000"/>
    <n v="0"/>
    <d v="2015-11-15T00:00:00"/>
  </r>
  <r>
    <s v="042"/>
    <s v="SANTA MONICA-MALIBU UNIFIED SCHOOL DISTRICT"/>
    <s v="024"/>
    <x v="20"/>
    <s v="003"/>
    <s v="CLASSROOM BUILDING WING 500"/>
    <s v="2528 6TH STREET"/>
    <s v="SANTA MONICA"/>
    <s v="CA"/>
    <s v="90405"/>
    <n v="1996"/>
    <n v="9638"/>
    <n v="2565000"/>
    <n v="292000"/>
    <n v="2857000"/>
    <n v="0"/>
    <d v="2015-11-15T00:00:00"/>
  </r>
  <r>
    <s v="042"/>
    <s v="SANTA MONICA-MALIBU UNIFIED SCHOOL DISTRICT"/>
    <s v="024"/>
    <x v="20"/>
    <s v="006"/>
    <s v="CLASSROOM BUILDING"/>
    <s v="2531 6TH STREET"/>
    <s v="SANTA MONICA"/>
    <s v="CA"/>
    <s v="90405"/>
    <n v="2000"/>
    <n v="3036"/>
    <n v="804000"/>
    <n v="92000"/>
    <n v="896000"/>
    <n v="0"/>
    <d v="2015-11-15T00:00:00"/>
  </r>
  <r>
    <s v="042"/>
    <s v="SANTA MONICA-MALIBU UNIFIED SCHOOL DISTRICT"/>
    <s v="024"/>
    <x v="20"/>
    <s v="002"/>
    <s v="MULTIPURPOSE/CLASSROOM BUILDING"/>
    <s v="2527 6TH STREET"/>
    <s v="SANTA MONICA"/>
    <s v="CA"/>
    <s v="90405"/>
    <n v="1997"/>
    <n v="14800"/>
    <n v="3792000"/>
    <n v="448000"/>
    <n v="4240000"/>
    <n v="0"/>
    <d v="2015-11-15T00:00:00"/>
  </r>
  <r>
    <s v="042"/>
    <s v="SANTA MONICA-MALIBU UNIFIED SCHOOL DISTRICT"/>
    <s v="024"/>
    <x v="20"/>
    <s v="004"/>
    <s v="CLASSROOM BUILDING WING 600"/>
    <s v="2529 6TH STREET"/>
    <s v="SANTA MONICA"/>
    <s v="CA"/>
    <s v="90405"/>
    <n v="1996"/>
    <n v="9766"/>
    <n v="2603000"/>
    <n v="296000"/>
    <n v="2899000"/>
    <n v="0"/>
    <d v="2015-11-15T00:00:00"/>
  </r>
  <r>
    <s v="042"/>
    <s v="SANTA MONICA-MALIBU UNIFIED SCHOOL DISTRICT"/>
    <s v="024"/>
    <x v="20"/>
    <s v="005"/>
    <s v="CLASSROOM BUILDING RM 2"/>
    <s v="2530 6TH STREET"/>
    <s v="SANTA MONICA"/>
    <s v="CA"/>
    <s v="90405"/>
    <n v="2002"/>
    <n v="1920"/>
    <n v="519000"/>
    <n v="58000"/>
    <n v="577000"/>
    <n v="0"/>
    <d v="2015-11-15T00:00:00"/>
  </r>
  <r>
    <s v="042"/>
    <s v="SANTA MONICA-MALIBU UNIFIED SCHOOL DISTRICT"/>
    <s v="024"/>
    <x v="20"/>
    <s v="008"/>
    <s v="RESTROOM BUILDING"/>
    <s v="2533 6TH STREET"/>
    <s v="SANTA MONICA"/>
    <s v="CA"/>
    <s v="90405"/>
    <n v="1996"/>
    <n v="432"/>
    <n v="129000"/>
    <n v="2000"/>
    <n v="131000"/>
    <n v="0"/>
    <d v="2015-11-15T00:00:00"/>
  </r>
  <r>
    <s v="042"/>
    <s v="SANTA MONICA-MALIBU UNIFIED SCHOOL DISTRICT"/>
    <s v="024"/>
    <x v="20"/>
    <s v="007"/>
    <s v="STORAGE BUILDING"/>
    <s v="2532 6TH STREET"/>
    <s v="SANTA MONICA"/>
    <s v="CA"/>
    <s v="90405"/>
    <n v="1996"/>
    <n v="256"/>
    <n v="76000"/>
    <n v="7000"/>
    <n v="83000"/>
    <n v="0"/>
    <d v="2015-11-15T00:00:00"/>
  </r>
  <r>
    <s v="042"/>
    <s v="SANTA MONICA-MALIBU UNIFIED SCHOOL DISTRICT"/>
    <s v="024"/>
    <x v="20"/>
    <s v="901"/>
    <s v="PORTABLE CLASSROOM BUILDING RM A"/>
    <s v="2534 6TH STREET"/>
    <s v="SANTA MONICA"/>
    <s v="CA"/>
    <s v="90405"/>
    <n v="1996"/>
    <n v="960"/>
    <n v="96000"/>
    <n v="21000"/>
    <n v="117000"/>
    <n v="0"/>
    <d v="2015-11-19T00:00:00"/>
  </r>
  <r>
    <s v="042"/>
    <s v="SANTA MONICA-MALIBU UNIFIED SCHOOL DISTRICT"/>
    <s v="024"/>
    <x v="20"/>
    <s v="902"/>
    <s v="PORTABLE CLASSROOM BUILDING RM B"/>
    <s v="2535 6TH STREET"/>
    <s v="SANTA MONICA"/>
    <s v="CA"/>
    <s v="90405"/>
    <n v="1996"/>
    <n v="960"/>
    <n v="96000"/>
    <n v="21000"/>
    <n v="117000"/>
    <n v="0"/>
    <d v="2015-11-19T00:00:00"/>
  </r>
  <r>
    <s v="042"/>
    <s v="SANTA MONICA-MALIBU UNIFIED SCHOOL DISTRICT"/>
    <s v="024"/>
    <x v="20"/>
    <s v="903"/>
    <s v="PORTABLE CLASSROOM BUILDING RM C"/>
    <s v="2536 6TH STREET"/>
    <s v="SANTA MONICA"/>
    <s v="CA"/>
    <s v="90405"/>
    <n v="1996"/>
    <n v="960"/>
    <n v="96000"/>
    <n v="21000"/>
    <n v="117000"/>
    <n v="0"/>
    <d v="2015-11-19T00:00:00"/>
  </r>
  <r>
    <s v="042"/>
    <s v="SANTA MONICA-MALIBU UNIFIED SCHOOL DISTRICT"/>
    <s v="024"/>
    <x v="20"/>
    <s v="904"/>
    <s v="PORTABLE CLASSROOM BUILDING RM D"/>
    <s v="2537 6TH STREET"/>
    <s v="SANTA MONICA"/>
    <s v="CA"/>
    <s v="90405"/>
    <n v="1996"/>
    <n v="960"/>
    <n v="96000"/>
    <n v="21000"/>
    <n v="117000"/>
    <n v="0"/>
    <d v="2015-11-19T00:00:00"/>
  </r>
  <r>
    <s v="042"/>
    <s v="SANTA MONICA-MALIBU UNIFIED SCHOOL DISTRICT"/>
    <s v="024"/>
    <x v="20"/>
    <s v="099"/>
    <s v="COVERED PASSAGES"/>
    <s v="2526 6TH STREET"/>
    <s v="SANTA MONICA"/>
    <s v="CA"/>
    <s v="90405"/>
    <n v="1996"/>
    <n v="544"/>
    <n v="16000"/>
    <n v="0"/>
    <n v="16000"/>
    <n v="0"/>
    <d v="2015-11-19T00:00:00"/>
  </r>
  <r>
    <s v="042"/>
    <s v="SANTA MONICA-MALIBU UNIFIED SCHOOL DISTRICT"/>
    <s v="025"/>
    <x v="21"/>
    <s v="C001"/>
    <s v="FUTURE PARKING SITE"/>
    <s v="1515 MAPLE STREET"/>
    <s v="SANTA MONICA"/>
    <s v="CA"/>
    <s v="90405"/>
    <m/>
    <n v="0"/>
    <n v="0"/>
    <n v="0"/>
    <n v="0"/>
    <n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6" firstHeaderRow="1" firstDataRow="1" firstDataCol="1"/>
  <pivotFields count="17">
    <pivotField showAll="0"/>
    <pivotField showAll="0"/>
    <pivotField showAll="0"/>
    <pivotField axis="axisRow" showAll="0">
      <items count="23">
        <item x="0"/>
        <item x="15"/>
        <item x="14"/>
        <item x="16"/>
        <item x="1"/>
        <item x="2"/>
        <item x="3"/>
        <item x="9"/>
        <item x="20"/>
        <item x="21"/>
        <item x="11"/>
        <item x="10"/>
        <item x="12"/>
        <item x="18"/>
        <item x="4"/>
        <item x="5"/>
        <item x="19"/>
        <item x="7"/>
        <item x="13"/>
        <item x="17"/>
        <item x="8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 defaultSubtotal="0"/>
    <pivotField showAll="0"/>
    <pivotField showAll="0"/>
  </pivotFields>
  <rowFields count="1">
    <field x="3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Sum of TIV" fld="14" baseField="0" baseItem="0" numFmtId="164"/>
  </dataFields>
  <formats count="6">
    <format dxfId="27">
      <pivotArea outline="0" collapsedLevelsAreSubtotals="1" fieldPosition="0"/>
    </format>
    <format dxfId="26">
      <pivotArea dataOnly="0" labelOnly="1" outline="0" axis="axisValues" fieldPosition="0"/>
    </format>
    <format dxfId="25">
      <pivotArea dataOnly="0" labelOnly="1" outline="0" axis="axisValues" fieldPosition="0"/>
    </format>
    <format dxfId="24">
      <pivotArea outline="0" collapsedLevelsAreSubtotals="1" fieldPosition="0"/>
    </format>
    <format dxfId="23">
      <pivotArea dataOnly="0" labelOnly="1" outline="0" axis="axisValues" fieldPosition="0"/>
    </format>
    <format dxfId="2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e1" displayName="Table1" ref="A1:Q266" totalsRowShown="0" headerRowDxfId="21" dataDxfId="19" headerRowBorderDxfId="20" tableBorderDxfId="18" totalsRowBorderDxfId="17">
  <autoFilter ref="A1:Q266"/>
  <tableColumns count="17">
    <tableColumn id="1" name="Member Number" dataDxfId="16">
      <calculatedColumnFormula>"042"</calculatedColumnFormula>
    </tableColumn>
    <tableColumn id="2" name="Member Name" dataDxfId="15">
      <calculatedColumnFormula>"SANTA MONICA-MALIBU UNIFIED SCHOOL DISTRICT"</calculatedColumnFormula>
    </tableColumn>
    <tableColumn id="3" name="Site Number" dataDxfId="14">
      <calculatedColumnFormula>"008"</calculatedColumnFormula>
    </tableColumn>
    <tableColumn id="4" name="Site Name" dataDxfId="13">
      <calculatedColumnFormula>"ROOSEVELT ELEMENTARY SCHOOL"</calculatedColumnFormula>
    </tableColumn>
    <tableColumn id="5" name="Bldg Number" dataDxfId="12"/>
    <tableColumn id="6" name="Bldg Description" dataDxfId="11"/>
    <tableColumn id="7" name="Address 1" dataDxfId="10">
      <calculatedColumnFormula>"801 MONTANA AVENUE"</calculatedColumnFormula>
    </tableColumn>
    <tableColumn id="8" name="City" dataDxfId="9">
      <calculatedColumnFormula>"SANTA MONICA"</calculatedColumnFormula>
    </tableColumn>
    <tableColumn id="9" name="State" dataDxfId="8">
      <calculatedColumnFormula>"CA"</calculatedColumnFormula>
    </tableColumn>
    <tableColumn id="10" name="ZIP" dataDxfId="7">
      <calculatedColumnFormula>"90403"</calculatedColumnFormula>
    </tableColumn>
    <tableColumn id="11" name="Year Built" dataDxfId="6"/>
    <tableColumn id="12" name="Gross Square Footage" dataDxfId="5"/>
    <tableColumn id="13" name="Building Value" dataDxfId="4"/>
    <tableColumn id="14" name="Content Value" dataDxfId="3"/>
    <tableColumn id="15" name="TIV" dataDxfId="2">
      <calculatedColumnFormula>M2+N2</calculatedColumnFormula>
    </tableColumn>
    <tableColumn id="16" name="Basement SF" dataDxfId="1"/>
    <tableColumn id="17" name="Date Of Inspec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6"/>
  <sheetViews>
    <sheetView zoomScale="175" zoomScaleNormal="175" workbookViewId="0">
      <selection activeCell="D15" sqref="D15"/>
    </sheetView>
  </sheetViews>
  <sheetFormatPr defaultRowHeight="15" x14ac:dyDescent="0.25"/>
  <cols>
    <col min="1" max="1" width="36.28515625" bestFit="1" customWidth="1"/>
    <col min="2" max="2" width="16.28515625" style="7" bestFit="1" customWidth="1"/>
  </cols>
  <sheetData>
    <row r="3" spans="1:2" x14ac:dyDescent="0.25">
      <c r="A3" s="5" t="s">
        <v>16</v>
      </c>
      <c r="B3" s="7" t="s">
        <v>41</v>
      </c>
    </row>
    <row r="4" spans="1:2" x14ac:dyDescent="0.25">
      <c r="A4" s="6" t="s">
        <v>17</v>
      </c>
      <c r="B4" s="7">
        <v>10663000</v>
      </c>
    </row>
    <row r="5" spans="1:2" x14ac:dyDescent="0.25">
      <c r="A5" s="6" t="s">
        <v>18</v>
      </c>
      <c r="B5" s="7">
        <v>2251000</v>
      </c>
    </row>
    <row r="6" spans="1:2" x14ac:dyDescent="0.25">
      <c r="A6" s="6" t="s">
        <v>19</v>
      </c>
      <c r="B6" s="7">
        <v>6337000</v>
      </c>
    </row>
    <row r="7" spans="1:2" x14ac:dyDescent="0.25">
      <c r="A7" s="6" t="s">
        <v>20</v>
      </c>
      <c r="B7" s="7">
        <v>2654000</v>
      </c>
    </row>
    <row r="8" spans="1:2" x14ac:dyDescent="0.25">
      <c r="A8" s="6" t="s">
        <v>21</v>
      </c>
      <c r="B8" s="7">
        <v>19988000</v>
      </c>
    </row>
    <row r="9" spans="1:2" x14ac:dyDescent="0.25">
      <c r="A9" s="6" t="s">
        <v>22</v>
      </c>
      <c r="B9" s="7">
        <v>18948000</v>
      </c>
    </row>
    <row r="10" spans="1:2" x14ac:dyDescent="0.25">
      <c r="A10" s="6" t="s">
        <v>23</v>
      </c>
      <c r="B10" s="7">
        <v>17824000</v>
      </c>
    </row>
    <row r="11" spans="1:2" x14ac:dyDescent="0.25">
      <c r="A11" s="6" t="s">
        <v>24</v>
      </c>
      <c r="B11" s="7">
        <v>33591000</v>
      </c>
    </row>
    <row r="12" spans="1:2" x14ac:dyDescent="0.25">
      <c r="A12" s="6" t="s">
        <v>25</v>
      </c>
      <c r="B12" s="7">
        <v>14758000</v>
      </c>
    </row>
    <row r="13" spans="1:2" x14ac:dyDescent="0.25">
      <c r="A13" s="6" t="s">
        <v>26</v>
      </c>
      <c r="B13" s="7">
        <v>0</v>
      </c>
    </row>
    <row r="14" spans="1:2" x14ac:dyDescent="0.25">
      <c r="A14" s="6" t="s">
        <v>27</v>
      </c>
      <c r="B14" s="7">
        <v>1285000</v>
      </c>
    </row>
    <row r="15" spans="1:2" x14ac:dyDescent="0.25">
      <c r="A15" s="6" t="s">
        <v>28</v>
      </c>
      <c r="B15" s="7">
        <v>53403000</v>
      </c>
    </row>
    <row r="16" spans="1:2" x14ac:dyDescent="0.25">
      <c r="A16" s="6" t="s">
        <v>29</v>
      </c>
      <c r="B16" s="7">
        <v>47272950</v>
      </c>
    </row>
    <row r="17" spans="1:2" x14ac:dyDescent="0.25">
      <c r="A17" s="6" t="s">
        <v>30</v>
      </c>
      <c r="B17" s="7">
        <v>1473000</v>
      </c>
    </row>
    <row r="18" spans="1:2" x14ac:dyDescent="0.25">
      <c r="A18" s="6" t="s">
        <v>31</v>
      </c>
      <c r="B18" s="7">
        <v>16970000</v>
      </c>
    </row>
    <row r="19" spans="1:2" x14ac:dyDescent="0.25">
      <c r="A19" s="6" t="s">
        <v>32</v>
      </c>
      <c r="B19" s="7">
        <v>11611000</v>
      </c>
    </row>
    <row r="20" spans="1:2" x14ac:dyDescent="0.25">
      <c r="A20" s="6" t="s">
        <v>33</v>
      </c>
      <c r="B20" s="7">
        <v>11159000</v>
      </c>
    </row>
    <row r="21" spans="1:2" x14ac:dyDescent="0.25">
      <c r="A21" s="6" t="s">
        <v>34</v>
      </c>
      <c r="B21" s="7">
        <v>15414000</v>
      </c>
    </row>
    <row r="22" spans="1:2" x14ac:dyDescent="0.25">
      <c r="A22" s="6" t="s">
        <v>35</v>
      </c>
      <c r="B22" s="7">
        <v>139927950</v>
      </c>
    </row>
    <row r="23" spans="1:2" x14ac:dyDescent="0.25">
      <c r="A23" s="6" t="s">
        <v>36</v>
      </c>
      <c r="B23" s="7">
        <v>387000</v>
      </c>
    </row>
    <row r="24" spans="1:2" x14ac:dyDescent="0.25">
      <c r="A24" s="6" t="s">
        <v>37</v>
      </c>
      <c r="B24" s="7">
        <v>10752000</v>
      </c>
    </row>
    <row r="25" spans="1:2" x14ac:dyDescent="0.25">
      <c r="A25" s="6" t="s">
        <v>38</v>
      </c>
      <c r="B25" s="7">
        <v>16241000</v>
      </c>
    </row>
    <row r="26" spans="1:2" x14ac:dyDescent="0.25">
      <c r="A26" s="6" t="s">
        <v>39</v>
      </c>
      <c r="B26" s="7">
        <v>452909900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6"/>
  <sheetViews>
    <sheetView showGridLines="0" tabSelected="1" workbookViewId="0">
      <selection activeCell="B217" sqref="B217"/>
    </sheetView>
  </sheetViews>
  <sheetFormatPr defaultRowHeight="15" x14ac:dyDescent="0.25"/>
  <cols>
    <col min="1" max="1" width="18.5703125" style="2" customWidth="1"/>
    <col min="2" max="2" width="47.140625" style="2" bestFit="1" customWidth="1"/>
    <col min="3" max="3" width="14.28515625" style="2" customWidth="1"/>
    <col min="4" max="4" width="36.28515625" style="2" bestFit="1" customWidth="1"/>
    <col min="5" max="5" width="14.7109375" style="2" customWidth="1"/>
    <col min="6" max="6" width="50.140625" style="2" bestFit="1" customWidth="1"/>
    <col min="7" max="7" width="31.28515625" style="2" bestFit="1" customWidth="1"/>
    <col min="8" max="8" width="6.5703125" style="2" customWidth="1"/>
    <col min="9" max="9" width="7.7109375" style="2" customWidth="1"/>
    <col min="10" max="10" width="5.85546875" style="2" customWidth="1"/>
    <col min="11" max="11" width="11.7109375" style="2" customWidth="1"/>
    <col min="12" max="12" width="22.28515625" style="2" customWidth="1"/>
    <col min="13" max="13" width="16" style="2" customWidth="1"/>
    <col min="14" max="14" width="15.85546875" style="2" customWidth="1"/>
    <col min="15" max="15" width="8" style="2" bestFit="1" customWidth="1"/>
    <col min="16" max="16" width="14.42578125" style="2" customWidth="1"/>
    <col min="17" max="17" width="19.5703125" style="2" customWidth="1"/>
    <col min="18" max="16384" width="9.140625" style="2"/>
  </cols>
  <sheetData>
    <row r="1" spans="1:17" x14ac:dyDescent="0.25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40</v>
      </c>
      <c r="P1" s="14" t="s">
        <v>14</v>
      </c>
      <c r="Q1" s="15" t="s">
        <v>15</v>
      </c>
    </row>
    <row r="2" spans="1:17" x14ac:dyDescent="0.25">
      <c r="A2" s="8" t="str">
        <f t="shared" ref="A2:A65" si="0">"042"</f>
        <v>042</v>
      </c>
      <c r="B2" s="1" t="str">
        <f t="shared" ref="B2:B65" si="1">"SANTA MONICA-MALIBU UNIFIED SCHOOL DISTRICT"</f>
        <v>SANTA MONICA-MALIBU UNIFIED SCHOOL DISTRICT</v>
      </c>
      <c r="C2" s="1" t="str">
        <f t="shared" ref="C2:C12" si="2">"011"</f>
        <v>011</v>
      </c>
      <c r="D2" s="1" t="str">
        <f t="shared" ref="D2:D12" si="3">"LINCOLN MIDDLE SCHOOL"</f>
        <v>LINCOLN MIDDLE SCHOOL</v>
      </c>
      <c r="E2" s="1" t="str">
        <f>"001"</f>
        <v>001</v>
      </c>
      <c r="F2" s="1" t="str">
        <f>"ADMINISTRATION/CLASSROOM BUILDING"</f>
        <v>ADMINISTRATION/CLASSROOM BUILDING</v>
      </c>
      <c r="G2" s="1" t="str">
        <f t="shared" ref="G2:G12" si="4">"1501 CALIFORNIA AVENUE"</f>
        <v>1501 CALIFORNIA AVENUE</v>
      </c>
      <c r="H2" s="1" t="str">
        <f t="shared" ref="H2:H33" si="5">"SANTA MONICA"</f>
        <v>SANTA MONICA</v>
      </c>
      <c r="I2" s="1" t="str">
        <f t="shared" ref="I2:I65" si="6">"CA"</f>
        <v>CA</v>
      </c>
      <c r="J2" s="1" t="str">
        <f t="shared" ref="J2:J12" si="7">"90403"</f>
        <v>90403</v>
      </c>
      <c r="K2" s="1">
        <v>1924</v>
      </c>
      <c r="L2" s="1">
        <v>65615</v>
      </c>
      <c r="M2" s="1">
        <v>15459000</v>
      </c>
      <c r="N2" s="1">
        <v>1502000</v>
      </c>
      <c r="O2" s="1">
        <f t="shared" ref="O2:O65" si="8">M2+N2</f>
        <v>16961000</v>
      </c>
      <c r="P2" s="1">
        <v>6270</v>
      </c>
      <c r="Q2" s="11">
        <v>42326</v>
      </c>
    </row>
    <row r="3" spans="1:17" x14ac:dyDescent="0.25">
      <c r="A3" s="8" t="str">
        <f t="shared" si="0"/>
        <v>042</v>
      </c>
      <c r="B3" s="1" t="str">
        <f t="shared" si="1"/>
        <v>SANTA MONICA-MALIBU UNIFIED SCHOOL DISTRICT</v>
      </c>
      <c r="C3" s="1" t="str">
        <f t="shared" si="2"/>
        <v>011</v>
      </c>
      <c r="D3" s="1" t="str">
        <f t="shared" si="3"/>
        <v>LINCOLN MIDDLE SCHOOL</v>
      </c>
      <c r="E3" s="1" t="str">
        <f>"002"</f>
        <v>002</v>
      </c>
      <c r="F3" s="1" t="str">
        <f>"CAFETERIA BUILDING"</f>
        <v>CAFETERIA BUILDING</v>
      </c>
      <c r="G3" s="1" t="str">
        <f t="shared" si="4"/>
        <v>1501 CALIFORNIA AVENUE</v>
      </c>
      <c r="H3" s="1" t="str">
        <f t="shared" si="5"/>
        <v>SANTA MONICA</v>
      </c>
      <c r="I3" s="1" t="str">
        <f t="shared" si="6"/>
        <v>CA</v>
      </c>
      <c r="J3" s="1" t="str">
        <f t="shared" si="7"/>
        <v>90403</v>
      </c>
      <c r="K3" s="1">
        <v>1936</v>
      </c>
      <c r="L3" s="1">
        <v>9300</v>
      </c>
      <c r="M3" s="1">
        <v>2369000</v>
      </c>
      <c r="N3" s="1">
        <v>292000</v>
      </c>
      <c r="O3" s="1">
        <f t="shared" si="8"/>
        <v>2661000</v>
      </c>
      <c r="P3" s="1">
        <v>0</v>
      </c>
      <c r="Q3" s="11">
        <v>42326</v>
      </c>
    </row>
    <row r="4" spans="1:17" x14ac:dyDescent="0.25">
      <c r="A4" s="8" t="str">
        <f t="shared" si="0"/>
        <v>042</v>
      </c>
      <c r="B4" s="1" t="str">
        <f t="shared" si="1"/>
        <v>SANTA MONICA-MALIBU UNIFIED SCHOOL DISTRICT</v>
      </c>
      <c r="C4" s="1" t="str">
        <f t="shared" si="2"/>
        <v>011</v>
      </c>
      <c r="D4" s="1" t="str">
        <f t="shared" si="3"/>
        <v>LINCOLN MIDDLE SCHOOL</v>
      </c>
      <c r="E4" s="1" t="str">
        <f>"003"</f>
        <v>003</v>
      </c>
      <c r="F4" s="1" t="str">
        <f>"AUDITORIUM BUILDING"</f>
        <v>AUDITORIUM BUILDING</v>
      </c>
      <c r="G4" s="1" t="str">
        <f t="shared" si="4"/>
        <v>1501 CALIFORNIA AVENUE</v>
      </c>
      <c r="H4" s="1" t="str">
        <f t="shared" si="5"/>
        <v>SANTA MONICA</v>
      </c>
      <c r="I4" s="1" t="str">
        <f t="shared" si="6"/>
        <v>CA</v>
      </c>
      <c r="J4" s="1" t="str">
        <f t="shared" si="7"/>
        <v>90403</v>
      </c>
      <c r="K4" s="1">
        <v>1969</v>
      </c>
      <c r="L4" s="1">
        <v>11832</v>
      </c>
      <c r="M4" s="1">
        <v>4154000</v>
      </c>
      <c r="N4" s="1">
        <v>172000</v>
      </c>
      <c r="O4" s="1">
        <f t="shared" si="8"/>
        <v>4326000</v>
      </c>
      <c r="P4" s="1">
        <v>0</v>
      </c>
      <c r="Q4" s="11">
        <v>42326</v>
      </c>
    </row>
    <row r="5" spans="1:17" x14ac:dyDescent="0.25">
      <c r="A5" s="8" t="str">
        <f t="shared" si="0"/>
        <v>042</v>
      </c>
      <c r="B5" s="1" t="str">
        <f t="shared" si="1"/>
        <v>SANTA MONICA-MALIBU UNIFIED SCHOOL DISTRICT</v>
      </c>
      <c r="C5" s="1" t="str">
        <f t="shared" si="2"/>
        <v>011</v>
      </c>
      <c r="D5" s="1" t="str">
        <f t="shared" si="3"/>
        <v>LINCOLN MIDDLE SCHOOL</v>
      </c>
      <c r="E5" s="1" t="str">
        <f>"004"</f>
        <v>004</v>
      </c>
      <c r="F5" s="1" t="str">
        <f>"CLASSROOM BUILDING RM 310"</f>
        <v>CLASSROOM BUILDING RM 310</v>
      </c>
      <c r="G5" s="1" t="str">
        <f t="shared" si="4"/>
        <v>1501 CALIFORNIA AVENUE</v>
      </c>
      <c r="H5" s="1" t="str">
        <f t="shared" si="5"/>
        <v>SANTA MONICA</v>
      </c>
      <c r="I5" s="1" t="str">
        <f t="shared" si="6"/>
        <v>CA</v>
      </c>
      <c r="J5" s="1" t="str">
        <f t="shared" si="7"/>
        <v>90403</v>
      </c>
      <c r="K5" s="1">
        <v>1936</v>
      </c>
      <c r="L5" s="1">
        <v>1573</v>
      </c>
      <c r="M5" s="1">
        <v>410000</v>
      </c>
      <c r="N5" s="1">
        <v>33000</v>
      </c>
      <c r="O5" s="1">
        <f t="shared" si="8"/>
        <v>443000</v>
      </c>
      <c r="P5" s="1">
        <v>0</v>
      </c>
      <c r="Q5" s="11">
        <v>42326</v>
      </c>
    </row>
    <row r="6" spans="1:17" x14ac:dyDescent="0.25">
      <c r="A6" s="8" t="str">
        <f t="shared" si="0"/>
        <v>042</v>
      </c>
      <c r="B6" s="1" t="str">
        <f t="shared" si="1"/>
        <v>SANTA MONICA-MALIBU UNIFIED SCHOOL DISTRICT</v>
      </c>
      <c r="C6" s="1" t="str">
        <f t="shared" si="2"/>
        <v>011</v>
      </c>
      <c r="D6" s="1" t="str">
        <f t="shared" si="3"/>
        <v>LINCOLN MIDDLE SCHOOL</v>
      </c>
      <c r="E6" s="1" t="str">
        <f>"005"</f>
        <v>005</v>
      </c>
      <c r="F6" s="1" t="str">
        <f>"CLASSROOM BUILDING RMS 311-324"</f>
        <v>CLASSROOM BUILDING RMS 311-324</v>
      </c>
      <c r="G6" s="1" t="str">
        <f t="shared" si="4"/>
        <v>1501 CALIFORNIA AVENUE</v>
      </c>
      <c r="H6" s="1" t="str">
        <f t="shared" si="5"/>
        <v>SANTA MONICA</v>
      </c>
      <c r="I6" s="1" t="str">
        <f t="shared" si="6"/>
        <v>CA</v>
      </c>
      <c r="J6" s="1" t="str">
        <f t="shared" si="7"/>
        <v>90403</v>
      </c>
      <c r="K6" s="1">
        <v>1958</v>
      </c>
      <c r="L6" s="1">
        <v>9016</v>
      </c>
      <c r="M6" s="1">
        <v>2081000</v>
      </c>
      <c r="N6" s="1">
        <v>188000</v>
      </c>
      <c r="O6" s="1">
        <f t="shared" si="8"/>
        <v>2269000</v>
      </c>
      <c r="P6" s="1">
        <v>0</v>
      </c>
      <c r="Q6" s="11">
        <v>42326</v>
      </c>
    </row>
    <row r="7" spans="1:17" x14ac:dyDescent="0.25">
      <c r="A7" s="8" t="str">
        <f t="shared" si="0"/>
        <v>042</v>
      </c>
      <c r="B7" s="1" t="str">
        <f t="shared" si="1"/>
        <v>SANTA MONICA-MALIBU UNIFIED SCHOOL DISTRICT</v>
      </c>
      <c r="C7" s="1" t="str">
        <f t="shared" si="2"/>
        <v>011</v>
      </c>
      <c r="D7" s="1" t="str">
        <f t="shared" si="3"/>
        <v>LINCOLN MIDDLE SCHOOL</v>
      </c>
      <c r="E7" s="1" t="str">
        <f>"006"</f>
        <v>006</v>
      </c>
      <c r="F7" s="1" t="str">
        <f>"CLASSROOM BUILDING RMS 400-402"</f>
        <v>CLASSROOM BUILDING RMS 400-402</v>
      </c>
      <c r="G7" s="1" t="str">
        <f t="shared" si="4"/>
        <v>1501 CALIFORNIA AVENUE</v>
      </c>
      <c r="H7" s="1" t="str">
        <f t="shared" si="5"/>
        <v>SANTA MONICA</v>
      </c>
      <c r="I7" s="1" t="str">
        <f t="shared" si="6"/>
        <v>CA</v>
      </c>
      <c r="J7" s="1" t="str">
        <f t="shared" si="7"/>
        <v>90403</v>
      </c>
      <c r="K7" s="1">
        <v>1958</v>
      </c>
      <c r="L7" s="1">
        <v>7474</v>
      </c>
      <c r="M7" s="1">
        <v>1695000</v>
      </c>
      <c r="N7" s="1">
        <v>156000</v>
      </c>
      <c r="O7" s="1">
        <f t="shared" si="8"/>
        <v>1851000</v>
      </c>
      <c r="P7" s="1">
        <v>0</v>
      </c>
      <c r="Q7" s="11">
        <v>42326</v>
      </c>
    </row>
    <row r="8" spans="1:17" x14ac:dyDescent="0.25">
      <c r="A8" s="8" t="str">
        <f t="shared" si="0"/>
        <v>042</v>
      </c>
      <c r="B8" s="1" t="str">
        <f t="shared" si="1"/>
        <v>SANTA MONICA-MALIBU UNIFIED SCHOOL DISTRICT</v>
      </c>
      <c r="C8" s="1" t="str">
        <f t="shared" si="2"/>
        <v>011</v>
      </c>
      <c r="D8" s="1" t="str">
        <f t="shared" si="3"/>
        <v>LINCOLN MIDDLE SCHOOL</v>
      </c>
      <c r="E8" s="1" t="str">
        <f>"007"</f>
        <v>007</v>
      </c>
      <c r="F8" s="1" t="str">
        <f>"CLASSROOM BUILDING RMS 501-510"</f>
        <v>CLASSROOM BUILDING RMS 501-510</v>
      </c>
      <c r="G8" s="1" t="str">
        <f t="shared" si="4"/>
        <v>1501 CALIFORNIA AVENUE</v>
      </c>
      <c r="H8" s="1" t="str">
        <f t="shared" si="5"/>
        <v>SANTA MONICA</v>
      </c>
      <c r="I8" s="1" t="str">
        <f t="shared" si="6"/>
        <v>CA</v>
      </c>
      <c r="J8" s="1" t="str">
        <f t="shared" si="7"/>
        <v>90403</v>
      </c>
      <c r="K8" s="1">
        <v>1958</v>
      </c>
      <c r="L8" s="1">
        <v>17289</v>
      </c>
      <c r="M8" s="1">
        <v>4184000</v>
      </c>
      <c r="N8" s="1">
        <v>361000</v>
      </c>
      <c r="O8" s="1">
        <f t="shared" si="8"/>
        <v>4545000</v>
      </c>
      <c r="P8" s="1">
        <v>0</v>
      </c>
      <c r="Q8" s="11">
        <v>42326</v>
      </c>
    </row>
    <row r="9" spans="1:17" x14ac:dyDescent="0.25">
      <c r="A9" s="8" t="str">
        <f t="shared" si="0"/>
        <v>042</v>
      </c>
      <c r="B9" s="1" t="str">
        <f t="shared" si="1"/>
        <v>SANTA MONICA-MALIBU UNIFIED SCHOOL DISTRICT</v>
      </c>
      <c r="C9" s="1" t="str">
        <f t="shared" si="2"/>
        <v>011</v>
      </c>
      <c r="D9" s="1" t="str">
        <f t="shared" si="3"/>
        <v>LINCOLN MIDDLE SCHOOL</v>
      </c>
      <c r="E9" s="1" t="str">
        <f>"008"</f>
        <v>008</v>
      </c>
      <c r="F9" s="1" t="str">
        <f>"GYMNASIUM BUILDING"</f>
        <v>GYMNASIUM BUILDING</v>
      </c>
      <c r="G9" s="1" t="str">
        <f t="shared" si="4"/>
        <v>1501 CALIFORNIA AVENUE</v>
      </c>
      <c r="H9" s="1" t="str">
        <f t="shared" si="5"/>
        <v>SANTA MONICA</v>
      </c>
      <c r="I9" s="1" t="str">
        <f t="shared" si="6"/>
        <v>CA</v>
      </c>
      <c r="J9" s="1" t="str">
        <f t="shared" si="7"/>
        <v>90403</v>
      </c>
      <c r="K9" s="1">
        <v>1958</v>
      </c>
      <c r="L9" s="1">
        <v>14281</v>
      </c>
      <c r="M9" s="1">
        <v>3851000</v>
      </c>
      <c r="N9" s="1">
        <v>128000</v>
      </c>
      <c r="O9" s="1">
        <f t="shared" si="8"/>
        <v>3979000</v>
      </c>
      <c r="P9" s="1">
        <v>0</v>
      </c>
      <c r="Q9" s="11">
        <v>42326</v>
      </c>
    </row>
    <row r="10" spans="1:17" x14ac:dyDescent="0.25">
      <c r="A10" s="8" t="str">
        <f t="shared" si="0"/>
        <v>042</v>
      </c>
      <c r="B10" s="1" t="str">
        <f t="shared" si="1"/>
        <v>SANTA MONICA-MALIBU UNIFIED SCHOOL DISTRICT</v>
      </c>
      <c r="C10" s="1" t="str">
        <f t="shared" si="2"/>
        <v>011</v>
      </c>
      <c r="D10" s="1" t="str">
        <f t="shared" si="3"/>
        <v>LINCOLN MIDDLE SCHOOL</v>
      </c>
      <c r="E10" s="1" t="str">
        <f>"009"</f>
        <v>009</v>
      </c>
      <c r="F10" s="1" t="str">
        <f>"NATATORIUM BUILDING"</f>
        <v>NATATORIUM BUILDING</v>
      </c>
      <c r="G10" s="1" t="str">
        <f t="shared" si="4"/>
        <v>1501 CALIFORNIA AVENUE</v>
      </c>
      <c r="H10" s="1" t="str">
        <f t="shared" si="5"/>
        <v>SANTA MONICA</v>
      </c>
      <c r="I10" s="1" t="str">
        <f t="shared" si="6"/>
        <v>CA</v>
      </c>
      <c r="J10" s="1" t="str">
        <f t="shared" si="7"/>
        <v>90403</v>
      </c>
      <c r="K10" s="1">
        <v>1953</v>
      </c>
      <c r="L10" s="1">
        <v>15810</v>
      </c>
      <c r="M10" s="1">
        <v>4272000</v>
      </c>
      <c r="N10" s="1">
        <v>127000</v>
      </c>
      <c r="O10" s="1">
        <f t="shared" si="8"/>
        <v>4399000</v>
      </c>
      <c r="P10" s="1">
        <v>0</v>
      </c>
      <c r="Q10" s="11">
        <v>42326</v>
      </c>
    </row>
    <row r="11" spans="1:17" x14ac:dyDescent="0.25">
      <c r="A11" s="8" t="str">
        <f t="shared" si="0"/>
        <v>042</v>
      </c>
      <c r="B11" s="1" t="str">
        <f t="shared" si="1"/>
        <v>SANTA MONICA-MALIBU UNIFIED SCHOOL DISTRICT</v>
      </c>
      <c r="C11" s="1" t="str">
        <f t="shared" si="2"/>
        <v>011</v>
      </c>
      <c r="D11" s="1" t="str">
        <f t="shared" si="3"/>
        <v>LINCOLN MIDDLE SCHOOL</v>
      </c>
      <c r="E11" s="1" t="str">
        <f>"010"</f>
        <v>010</v>
      </c>
      <c r="F11" s="1" t="str">
        <f>"NEW LIBRARY"</f>
        <v>NEW LIBRARY</v>
      </c>
      <c r="G11" s="1" t="str">
        <f t="shared" si="4"/>
        <v>1501 CALIFORNIA AVENUE</v>
      </c>
      <c r="H11" s="1" t="str">
        <f t="shared" si="5"/>
        <v>SANTA MONICA</v>
      </c>
      <c r="I11" s="1" t="str">
        <f t="shared" si="6"/>
        <v>CA</v>
      </c>
      <c r="J11" s="1" t="str">
        <f t="shared" si="7"/>
        <v>90403</v>
      </c>
      <c r="K11" s="1">
        <v>2014</v>
      </c>
      <c r="L11" s="1">
        <v>23868</v>
      </c>
      <c r="M11" s="1">
        <v>10440000</v>
      </c>
      <c r="N11" s="1">
        <v>1266000</v>
      </c>
      <c r="O11" s="1">
        <f t="shared" si="8"/>
        <v>11706000</v>
      </c>
      <c r="P11" s="1">
        <v>0</v>
      </c>
      <c r="Q11" s="11">
        <v>42326</v>
      </c>
    </row>
    <row r="12" spans="1:17" x14ac:dyDescent="0.25">
      <c r="A12" s="8" t="str">
        <f t="shared" si="0"/>
        <v>042</v>
      </c>
      <c r="B12" s="1" t="str">
        <f t="shared" si="1"/>
        <v>SANTA MONICA-MALIBU UNIFIED SCHOOL DISTRICT</v>
      </c>
      <c r="C12" s="1" t="str">
        <f t="shared" si="2"/>
        <v>011</v>
      </c>
      <c r="D12" s="1" t="str">
        <f t="shared" si="3"/>
        <v>LINCOLN MIDDLE SCHOOL</v>
      </c>
      <c r="E12" s="1" t="str">
        <f>"099"</f>
        <v>099</v>
      </c>
      <c r="F12" s="1" t="str">
        <f>"COVERED PASSAGES"</f>
        <v>COVERED PASSAGES</v>
      </c>
      <c r="G12" s="1" t="str">
        <f t="shared" si="4"/>
        <v>1501 CALIFORNIA AVENUE</v>
      </c>
      <c r="H12" s="1" t="str">
        <f t="shared" si="5"/>
        <v>SANTA MONICA</v>
      </c>
      <c r="I12" s="1" t="str">
        <f t="shared" si="6"/>
        <v>CA</v>
      </c>
      <c r="J12" s="1" t="str">
        <f t="shared" si="7"/>
        <v>90403</v>
      </c>
      <c r="K12" s="1">
        <v>1970</v>
      </c>
      <c r="L12" s="1">
        <v>9131</v>
      </c>
      <c r="M12" s="1">
        <v>263000</v>
      </c>
      <c r="N12" s="1">
        <v>0</v>
      </c>
      <c r="O12" s="1">
        <f t="shared" si="8"/>
        <v>263000</v>
      </c>
      <c r="P12" s="1">
        <v>0</v>
      </c>
      <c r="Q12" s="11">
        <v>42326</v>
      </c>
    </row>
    <row r="13" spans="1:17" x14ac:dyDescent="0.25">
      <c r="A13" s="8" t="str">
        <f t="shared" si="0"/>
        <v>042</v>
      </c>
      <c r="B13" s="1" t="str">
        <f t="shared" si="1"/>
        <v>SANTA MONICA-MALIBU UNIFIED SCHOOL DISTRICT</v>
      </c>
      <c r="C13" s="1" t="str">
        <f>"025"</f>
        <v>025</v>
      </c>
      <c r="D13" s="1" t="str">
        <f>"LEASED SITE"</f>
        <v>LEASED SITE</v>
      </c>
      <c r="E13" s="1" t="str">
        <f>"C001"</f>
        <v>C001</v>
      </c>
      <c r="F13" s="1" t="str">
        <f>"FUTURE PARKING SITE"</f>
        <v>FUTURE PARKING SITE</v>
      </c>
      <c r="G13" s="1" t="str">
        <f>"1515 MAPLE STREET"</f>
        <v>1515 MAPLE STREET</v>
      </c>
      <c r="H13" s="1" t="str">
        <f t="shared" si="5"/>
        <v>SANTA MONICA</v>
      </c>
      <c r="I13" s="1" t="str">
        <f t="shared" si="6"/>
        <v>CA</v>
      </c>
      <c r="J13" s="1" t="str">
        <f>"90405"</f>
        <v>90405</v>
      </c>
      <c r="K13" s="1"/>
      <c r="L13" s="1">
        <v>0</v>
      </c>
      <c r="M13" s="1">
        <v>0</v>
      </c>
      <c r="N13" s="1">
        <v>0</v>
      </c>
      <c r="O13" s="1">
        <f t="shared" si="8"/>
        <v>0</v>
      </c>
      <c r="P13" s="1">
        <v>0</v>
      </c>
      <c r="Q13" s="10"/>
    </row>
    <row r="14" spans="1:17" x14ac:dyDescent="0.25">
      <c r="A14" s="8" t="str">
        <f t="shared" si="0"/>
        <v>042</v>
      </c>
      <c r="B14" s="1" t="str">
        <f t="shared" si="1"/>
        <v>SANTA MONICA-MALIBU UNIFIED SCHOOL DISTRICT</v>
      </c>
      <c r="C14" s="1" t="str">
        <f>"011A"</f>
        <v>011A</v>
      </c>
      <c r="D14" s="1" t="str">
        <f>"LINCOLN CHILD CARE CENTER"</f>
        <v>LINCOLN CHILD CARE CENTER</v>
      </c>
      <c r="E14" s="1" t="str">
        <f>"001"</f>
        <v>001</v>
      </c>
      <c r="F14" s="1" t="str">
        <f>"LINCOLN CHILD DEVELOPMENT CENTER"</f>
        <v>LINCOLN CHILD DEVELOPMENT CENTER</v>
      </c>
      <c r="G14" s="1" t="str">
        <f>"1532 CALIFORNIA AVE"</f>
        <v>1532 CALIFORNIA AVE</v>
      </c>
      <c r="H14" s="1" t="str">
        <f t="shared" si="5"/>
        <v>SANTA MONICA</v>
      </c>
      <c r="I14" s="1" t="str">
        <f t="shared" si="6"/>
        <v>CA</v>
      </c>
      <c r="J14" s="1" t="str">
        <f>"90403"</f>
        <v>90403</v>
      </c>
      <c r="K14" s="1">
        <v>1965</v>
      </c>
      <c r="L14" s="1">
        <v>5018</v>
      </c>
      <c r="M14" s="1">
        <v>1133000</v>
      </c>
      <c r="N14" s="1">
        <v>152000</v>
      </c>
      <c r="O14" s="1">
        <f t="shared" si="8"/>
        <v>1285000</v>
      </c>
      <c r="P14" s="1">
        <v>0</v>
      </c>
      <c r="Q14" s="11">
        <v>42327</v>
      </c>
    </row>
    <row r="15" spans="1:17" x14ac:dyDescent="0.25">
      <c r="A15" s="8" t="str">
        <f t="shared" si="0"/>
        <v>042</v>
      </c>
      <c r="B15" s="1" t="str">
        <f t="shared" si="1"/>
        <v>SANTA MONICA-MALIBU UNIFIED SCHOOL DISTRICT</v>
      </c>
      <c r="C15" s="1" t="str">
        <f>"020"</f>
        <v>020</v>
      </c>
      <c r="D15" s="1" t="str">
        <f>"DISTRICT OFFICE"</f>
        <v>DISTRICT OFFICE</v>
      </c>
      <c r="E15" s="1" t="str">
        <f>"001"</f>
        <v>001</v>
      </c>
      <c r="F15" s="1" t="str">
        <f>"DISTRICT OFFICE (LEASED BUILDING)"</f>
        <v>DISTRICT OFFICE (LEASED BUILDING)</v>
      </c>
      <c r="G15" s="1" t="str">
        <f>"1651 16TH STREET"</f>
        <v>1651 16TH STREET</v>
      </c>
      <c r="H15" s="1" t="str">
        <f t="shared" si="5"/>
        <v>SANTA MONICA</v>
      </c>
      <c r="I15" s="1" t="str">
        <f t="shared" si="6"/>
        <v>CA</v>
      </c>
      <c r="J15" s="1" t="str">
        <f>"90405"</f>
        <v>90405</v>
      </c>
      <c r="K15" s="1">
        <v>1985</v>
      </c>
      <c r="L15" s="1">
        <v>0</v>
      </c>
      <c r="M15" s="1">
        <v>0</v>
      </c>
      <c r="N15" s="1">
        <v>2654000</v>
      </c>
      <c r="O15" s="1">
        <f t="shared" si="8"/>
        <v>2654000</v>
      </c>
      <c r="P15" s="1">
        <v>0</v>
      </c>
      <c r="Q15" s="11">
        <v>42328</v>
      </c>
    </row>
    <row r="16" spans="1:17" x14ac:dyDescent="0.25">
      <c r="A16" s="8" t="str">
        <f t="shared" si="0"/>
        <v>042</v>
      </c>
      <c r="B16" s="1" t="str">
        <f t="shared" si="1"/>
        <v>SANTA MONICA-MALIBU UNIFIED SCHOOL DISTRICT</v>
      </c>
      <c r="C16" s="1" t="str">
        <f>"021"</f>
        <v>021</v>
      </c>
      <c r="D16" s="1" t="str">
        <f>"TRANSPORTATION YARD"</f>
        <v>TRANSPORTATION YARD</v>
      </c>
      <c r="E16" s="1" t="str">
        <f>"001"</f>
        <v>001</v>
      </c>
      <c r="F16" s="1" t="str">
        <f>"BUS YARD OFFICE &amp; GARAGE (LEASED BUILDING)"</f>
        <v>BUS YARD OFFICE &amp; GARAGE (LEASED BUILDING)</v>
      </c>
      <c r="G16" s="1" t="str">
        <f>"1899 OLYMPIC BOULEVARD"</f>
        <v>1899 OLYMPIC BOULEVARD</v>
      </c>
      <c r="H16" s="1" t="str">
        <f t="shared" si="5"/>
        <v>SANTA MONICA</v>
      </c>
      <c r="I16" s="1" t="str">
        <f t="shared" si="6"/>
        <v>CA</v>
      </c>
      <c r="J16" s="1" t="str">
        <f>"90404"</f>
        <v>90404</v>
      </c>
      <c r="K16" s="1">
        <v>1970</v>
      </c>
      <c r="L16" s="1">
        <v>5776</v>
      </c>
      <c r="M16" s="1">
        <v>204000</v>
      </c>
      <c r="N16" s="1">
        <v>183000</v>
      </c>
      <c r="O16" s="1">
        <f t="shared" si="8"/>
        <v>387000</v>
      </c>
      <c r="P16" s="1">
        <v>0</v>
      </c>
      <c r="Q16" s="11">
        <v>42326</v>
      </c>
    </row>
    <row r="17" spans="1:17" x14ac:dyDescent="0.25">
      <c r="A17" s="8" t="str">
        <f t="shared" si="0"/>
        <v>042</v>
      </c>
      <c r="B17" s="1" t="str">
        <f t="shared" si="1"/>
        <v>SANTA MONICA-MALIBU UNIFIED SCHOOL DISTRICT</v>
      </c>
      <c r="C17" s="1" t="str">
        <f t="shared" ref="C17:C44" si="9">"004"</f>
        <v>004</v>
      </c>
      <c r="D17" s="1" t="str">
        <f t="shared" ref="D17:D44" si="10">"GRANT ELEMENTARY SCHOOL"</f>
        <v>GRANT ELEMENTARY SCHOOL</v>
      </c>
      <c r="E17" s="1" t="str">
        <f>"002"</f>
        <v>002</v>
      </c>
      <c r="F17" s="1" t="str">
        <f>"MULTIPURPOSE/CLASSROOM BUILDING"</f>
        <v>MULTIPURPOSE/CLASSROOM BUILDING</v>
      </c>
      <c r="G17" s="1" t="str">
        <f t="shared" ref="G17:G44" si="11">"2368 PEARL STREET"</f>
        <v>2368 PEARL STREET</v>
      </c>
      <c r="H17" s="1" t="str">
        <f t="shared" si="5"/>
        <v>SANTA MONICA</v>
      </c>
      <c r="I17" s="1" t="str">
        <f t="shared" si="6"/>
        <v>CA</v>
      </c>
      <c r="J17" s="1" t="str">
        <f t="shared" ref="J17:J44" si="12">"90405"</f>
        <v>90405</v>
      </c>
      <c r="K17" s="1">
        <v>1936</v>
      </c>
      <c r="L17" s="1">
        <v>14301</v>
      </c>
      <c r="M17" s="1">
        <v>3723000</v>
      </c>
      <c r="N17" s="1">
        <v>450000</v>
      </c>
      <c r="O17" s="1">
        <f t="shared" si="8"/>
        <v>4173000</v>
      </c>
      <c r="P17" s="1">
        <v>0</v>
      </c>
      <c r="Q17" s="11">
        <v>42326</v>
      </c>
    </row>
    <row r="18" spans="1:17" x14ac:dyDescent="0.25">
      <c r="A18" s="8" t="str">
        <f t="shared" si="0"/>
        <v>042</v>
      </c>
      <c r="B18" s="1" t="str">
        <f t="shared" si="1"/>
        <v>SANTA MONICA-MALIBU UNIFIED SCHOOL DISTRICT</v>
      </c>
      <c r="C18" s="1" t="str">
        <f t="shared" si="9"/>
        <v>004</v>
      </c>
      <c r="D18" s="1" t="str">
        <f t="shared" si="10"/>
        <v>GRANT ELEMENTARY SCHOOL</v>
      </c>
      <c r="E18" s="1" t="str">
        <f>"009"</f>
        <v>009</v>
      </c>
      <c r="F18" s="1" t="str">
        <f>"LIBRARY/CLASSROOM BUILDING"</f>
        <v>LIBRARY/CLASSROOM BUILDING</v>
      </c>
      <c r="G18" s="1" t="str">
        <f t="shared" si="11"/>
        <v>2368 PEARL STREET</v>
      </c>
      <c r="H18" s="1" t="str">
        <f t="shared" si="5"/>
        <v>SANTA MONICA</v>
      </c>
      <c r="I18" s="1" t="str">
        <f t="shared" si="6"/>
        <v>CA</v>
      </c>
      <c r="J18" s="1" t="str">
        <f t="shared" si="12"/>
        <v>90405</v>
      </c>
      <c r="K18" s="1">
        <v>1940</v>
      </c>
      <c r="L18" s="1">
        <v>6171</v>
      </c>
      <c r="M18" s="1">
        <v>1630000</v>
      </c>
      <c r="N18" s="1">
        <v>555000</v>
      </c>
      <c r="O18" s="1">
        <f t="shared" si="8"/>
        <v>2185000</v>
      </c>
      <c r="P18" s="1">
        <v>0</v>
      </c>
      <c r="Q18" s="11">
        <v>42326</v>
      </c>
    </row>
    <row r="19" spans="1:17" x14ac:dyDescent="0.25">
      <c r="A19" s="8" t="str">
        <f t="shared" si="0"/>
        <v>042</v>
      </c>
      <c r="B19" s="1" t="str">
        <f t="shared" si="1"/>
        <v>SANTA MONICA-MALIBU UNIFIED SCHOOL DISTRICT</v>
      </c>
      <c r="C19" s="1" t="str">
        <f t="shared" si="9"/>
        <v>004</v>
      </c>
      <c r="D19" s="1" t="str">
        <f t="shared" si="10"/>
        <v>GRANT ELEMENTARY SCHOOL</v>
      </c>
      <c r="E19" s="1" t="str">
        <f>"003"</f>
        <v>003</v>
      </c>
      <c r="F19" s="1" t="str">
        <f>"AUDITORIUM BUILDING"</f>
        <v>AUDITORIUM BUILDING</v>
      </c>
      <c r="G19" s="1" t="str">
        <f t="shared" si="11"/>
        <v>2368 PEARL STREET</v>
      </c>
      <c r="H19" s="1" t="str">
        <f t="shared" si="5"/>
        <v>SANTA MONICA</v>
      </c>
      <c r="I19" s="1" t="str">
        <f t="shared" si="6"/>
        <v>CA</v>
      </c>
      <c r="J19" s="1" t="str">
        <f t="shared" si="12"/>
        <v>90405</v>
      </c>
      <c r="K19" s="1">
        <v>1945</v>
      </c>
      <c r="L19" s="1">
        <v>4252</v>
      </c>
      <c r="M19" s="1">
        <v>1562000</v>
      </c>
      <c r="N19" s="1">
        <v>62000</v>
      </c>
      <c r="O19" s="1">
        <f t="shared" si="8"/>
        <v>1624000</v>
      </c>
      <c r="P19" s="1">
        <v>0</v>
      </c>
      <c r="Q19" s="11">
        <v>42326</v>
      </c>
    </row>
    <row r="20" spans="1:17" x14ac:dyDescent="0.25">
      <c r="A20" s="8" t="str">
        <f t="shared" si="0"/>
        <v>042</v>
      </c>
      <c r="B20" s="1" t="str">
        <f t="shared" si="1"/>
        <v>SANTA MONICA-MALIBU UNIFIED SCHOOL DISTRICT</v>
      </c>
      <c r="C20" s="1" t="str">
        <f t="shared" si="9"/>
        <v>004</v>
      </c>
      <c r="D20" s="1" t="str">
        <f t="shared" si="10"/>
        <v>GRANT ELEMENTARY SCHOOL</v>
      </c>
      <c r="E20" s="1" t="str">
        <f>"005"</f>
        <v>005</v>
      </c>
      <c r="F20" s="1" t="str">
        <f>"CLASSROOM BUILDING RMS 2-5"</f>
        <v>CLASSROOM BUILDING RMS 2-5</v>
      </c>
      <c r="G20" s="1" t="str">
        <f t="shared" si="11"/>
        <v>2368 PEARL STREET</v>
      </c>
      <c r="H20" s="1" t="str">
        <f t="shared" si="5"/>
        <v>SANTA MONICA</v>
      </c>
      <c r="I20" s="1" t="str">
        <f t="shared" si="6"/>
        <v>CA</v>
      </c>
      <c r="J20" s="1" t="str">
        <f t="shared" si="12"/>
        <v>90405</v>
      </c>
      <c r="K20" s="1">
        <v>1940</v>
      </c>
      <c r="L20" s="1">
        <v>4440</v>
      </c>
      <c r="M20" s="1">
        <v>1331000</v>
      </c>
      <c r="N20" s="1">
        <v>134000</v>
      </c>
      <c r="O20" s="1">
        <f t="shared" si="8"/>
        <v>1465000</v>
      </c>
      <c r="P20" s="1">
        <v>0</v>
      </c>
      <c r="Q20" s="11">
        <v>42326</v>
      </c>
    </row>
    <row r="21" spans="1:17" x14ac:dyDescent="0.25">
      <c r="A21" s="8" t="str">
        <f t="shared" si="0"/>
        <v>042</v>
      </c>
      <c r="B21" s="1" t="str">
        <f t="shared" si="1"/>
        <v>SANTA MONICA-MALIBU UNIFIED SCHOOL DISTRICT</v>
      </c>
      <c r="C21" s="1" t="str">
        <f t="shared" si="9"/>
        <v>004</v>
      </c>
      <c r="D21" s="1" t="str">
        <f t="shared" si="10"/>
        <v>GRANT ELEMENTARY SCHOOL</v>
      </c>
      <c r="E21" s="1" t="str">
        <f>"006"</f>
        <v>006</v>
      </c>
      <c r="F21" s="1" t="str">
        <f>"CLASSROOM BUILDING RMS 11-13"</f>
        <v>CLASSROOM BUILDING RMS 11-13</v>
      </c>
      <c r="G21" s="1" t="str">
        <f t="shared" si="11"/>
        <v>2368 PEARL STREET</v>
      </c>
      <c r="H21" s="1" t="str">
        <f t="shared" si="5"/>
        <v>SANTA MONICA</v>
      </c>
      <c r="I21" s="1" t="str">
        <f t="shared" si="6"/>
        <v>CA</v>
      </c>
      <c r="J21" s="1" t="str">
        <f t="shared" si="12"/>
        <v>90405</v>
      </c>
      <c r="K21" s="1">
        <v>1940</v>
      </c>
      <c r="L21" s="1">
        <v>3525</v>
      </c>
      <c r="M21" s="1">
        <v>1130000</v>
      </c>
      <c r="N21" s="1">
        <v>107000</v>
      </c>
      <c r="O21" s="1">
        <f t="shared" si="8"/>
        <v>1237000</v>
      </c>
      <c r="P21" s="1">
        <v>0</v>
      </c>
      <c r="Q21" s="11">
        <v>42326</v>
      </c>
    </row>
    <row r="22" spans="1:17" x14ac:dyDescent="0.25">
      <c r="A22" s="8" t="str">
        <f t="shared" si="0"/>
        <v>042</v>
      </c>
      <c r="B22" s="1" t="str">
        <f t="shared" si="1"/>
        <v>SANTA MONICA-MALIBU UNIFIED SCHOOL DISTRICT</v>
      </c>
      <c r="C22" s="1" t="str">
        <f t="shared" si="9"/>
        <v>004</v>
      </c>
      <c r="D22" s="1" t="str">
        <f t="shared" si="10"/>
        <v>GRANT ELEMENTARY SCHOOL</v>
      </c>
      <c r="E22" s="1" t="str">
        <f>"001"</f>
        <v>001</v>
      </c>
      <c r="F22" s="1" t="str">
        <f>"ADMINISTRATION BUILDING"</f>
        <v>ADMINISTRATION BUILDING</v>
      </c>
      <c r="G22" s="1" t="str">
        <f t="shared" si="11"/>
        <v>2368 PEARL STREET</v>
      </c>
      <c r="H22" s="1" t="str">
        <f t="shared" si="5"/>
        <v>SANTA MONICA</v>
      </c>
      <c r="I22" s="1" t="str">
        <f t="shared" si="6"/>
        <v>CA</v>
      </c>
      <c r="J22" s="1" t="str">
        <f t="shared" si="12"/>
        <v>90405</v>
      </c>
      <c r="K22" s="1">
        <v>1936</v>
      </c>
      <c r="L22" s="1">
        <v>5968</v>
      </c>
      <c r="M22" s="1">
        <v>1481000</v>
      </c>
      <c r="N22" s="1">
        <v>197000</v>
      </c>
      <c r="O22" s="1">
        <f t="shared" si="8"/>
        <v>1678000</v>
      </c>
      <c r="P22" s="1">
        <v>0</v>
      </c>
      <c r="Q22" s="11">
        <v>42326</v>
      </c>
    </row>
    <row r="23" spans="1:17" x14ac:dyDescent="0.25">
      <c r="A23" s="8" t="str">
        <f t="shared" si="0"/>
        <v>042</v>
      </c>
      <c r="B23" s="1" t="str">
        <f t="shared" si="1"/>
        <v>SANTA MONICA-MALIBU UNIFIED SCHOOL DISTRICT</v>
      </c>
      <c r="C23" s="1" t="str">
        <f t="shared" si="9"/>
        <v>004</v>
      </c>
      <c r="D23" s="1" t="str">
        <f t="shared" si="10"/>
        <v>GRANT ELEMENTARY SCHOOL</v>
      </c>
      <c r="E23" s="1" t="str">
        <f>"004"</f>
        <v>004</v>
      </c>
      <c r="F23" s="1" t="str">
        <f>"CLASSROOM BUILDING RMS 26-29"</f>
        <v>CLASSROOM BUILDING RMS 26-29</v>
      </c>
      <c r="G23" s="1" t="str">
        <f t="shared" si="11"/>
        <v>2368 PEARL STREET</v>
      </c>
      <c r="H23" s="1" t="str">
        <f t="shared" si="5"/>
        <v>SANTA MONICA</v>
      </c>
      <c r="I23" s="1" t="str">
        <f t="shared" si="6"/>
        <v>CA</v>
      </c>
      <c r="J23" s="1" t="str">
        <f t="shared" si="12"/>
        <v>90405</v>
      </c>
      <c r="K23" s="1">
        <v>1940</v>
      </c>
      <c r="L23" s="1">
        <v>5335</v>
      </c>
      <c r="M23" s="1">
        <v>1586000</v>
      </c>
      <c r="N23" s="1">
        <v>161000</v>
      </c>
      <c r="O23" s="1">
        <f t="shared" si="8"/>
        <v>1747000</v>
      </c>
      <c r="P23" s="1">
        <v>0</v>
      </c>
      <c r="Q23" s="11">
        <v>42326</v>
      </c>
    </row>
    <row r="24" spans="1:17" x14ac:dyDescent="0.25">
      <c r="A24" s="8" t="str">
        <f t="shared" si="0"/>
        <v>042</v>
      </c>
      <c r="B24" s="1" t="str">
        <f t="shared" si="1"/>
        <v>SANTA MONICA-MALIBU UNIFIED SCHOOL DISTRICT</v>
      </c>
      <c r="C24" s="1" t="str">
        <f t="shared" si="9"/>
        <v>004</v>
      </c>
      <c r="D24" s="1" t="str">
        <f t="shared" si="10"/>
        <v>GRANT ELEMENTARY SCHOOL</v>
      </c>
      <c r="E24" s="1" t="str">
        <f>"008"</f>
        <v>008</v>
      </c>
      <c r="F24" s="1" t="str">
        <f>"CLASSROOM BUILDING RMS 37-40"</f>
        <v>CLASSROOM BUILDING RMS 37-40</v>
      </c>
      <c r="G24" s="1" t="str">
        <f t="shared" si="11"/>
        <v>2368 PEARL STREET</v>
      </c>
      <c r="H24" s="1" t="str">
        <f t="shared" si="5"/>
        <v>SANTA MONICA</v>
      </c>
      <c r="I24" s="1" t="str">
        <f t="shared" si="6"/>
        <v>CA</v>
      </c>
      <c r="J24" s="1" t="str">
        <f t="shared" si="12"/>
        <v>90405</v>
      </c>
      <c r="K24" s="1">
        <v>1940</v>
      </c>
      <c r="L24" s="1">
        <v>4400</v>
      </c>
      <c r="M24" s="1">
        <v>1093000</v>
      </c>
      <c r="N24" s="1">
        <v>133000</v>
      </c>
      <c r="O24" s="1">
        <f t="shared" si="8"/>
        <v>1226000</v>
      </c>
      <c r="P24" s="1">
        <v>0</v>
      </c>
      <c r="Q24" s="11">
        <v>42326</v>
      </c>
    </row>
    <row r="25" spans="1:17" x14ac:dyDescent="0.25">
      <c r="A25" s="8" t="str">
        <f t="shared" si="0"/>
        <v>042</v>
      </c>
      <c r="B25" s="1" t="str">
        <f t="shared" si="1"/>
        <v>SANTA MONICA-MALIBU UNIFIED SCHOOL DISTRICT</v>
      </c>
      <c r="C25" s="1" t="str">
        <f t="shared" si="9"/>
        <v>004</v>
      </c>
      <c r="D25" s="1" t="str">
        <f t="shared" si="10"/>
        <v>GRANT ELEMENTARY SCHOOL</v>
      </c>
      <c r="E25" s="1" t="str">
        <f>"007"</f>
        <v>007</v>
      </c>
      <c r="F25" s="1" t="str">
        <f>"CLASSROOM BUILDING RMS 30-31"</f>
        <v>CLASSROOM BUILDING RMS 30-31</v>
      </c>
      <c r="G25" s="1" t="str">
        <f t="shared" si="11"/>
        <v>2368 PEARL STREET</v>
      </c>
      <c r="H25" s="1" t="str">
        <f t="shared" si="5"/>
        <v>SANTA MONICA</v>
      </c>
      <c r="I25" s="1" t="str">
        <f t="shared" si="6"/>
        <v>CA</v>
      </c>
      <c r="J25" s="1" t="str">
        <f t="shared" si="12"/>
        <v>90405</v>
      </c>
      <c r="K25" s="1">
        <v>1940</v>
      </c>
      <c r="L25" s="1">
        <v>1880</v>
      </c>
      <c r="M25" s="1">
        <v>485000</v>
      </c>
      <c r="N25" s="1">
        <v>57000</v>
      </c>
      <c r="O25" s="1">
        <f t="shared" si="8"/>
        <v>542000</v>
      </c>
      <c r="P25" s="1">
        <v>0</v>
      </c>
      <c r="Q25" s="11">
        <v>42326</v>
      </c>
    </row>
    <row r="26" spans="1:17" x14ac:dyDescent="0.25">
      <c r="A26" s="8" t="str">
        <f t="shared" si="0"/>
        <v>042</v>
      </c>
      <c r="B26" s="1" t="str">
        <f t="shared" si="1"/>
        <v>SANTA MONICA-MALIBU UNIFIED SCHOOL DISTRICT</v>
      </c>
      <c r="C26" s="1" t="str">
        <f t="shared" si="9"/>
        <v>004</v>
      </c>
      <c r="D26" s="1" t="str">
        <f t="shared" si="10"/>
        <v>GRANT ELEMENTARY SCHOOL</v>
      </c>
      <c r="E26" s="1" t="str">
        <f>"010"</f>
        <v>010</v>
      </c>
      <c r="F26" s="1" t="str">
        <f>"RESTROOM BUILDING #1"</f>
        <v>RESTROOM BUILDING #1</v>
      </c>
      <c r="G26" s="1" t="str">
        <f t="shared" si="11"/>
        <v>2368 PEARL STREET</v>
      </c>
      <c r="H26" s="1" t="str">
        <f t="shared" si="5"/>
        <v>SANTA MONICA</v>
      </c>
      <c r="I26" s="1" t="str">
        <f t="shared" si="6"/>
        <v>CA</v>
      </c>
      <c r="J26" s="1" t="str">
        <f t="shared" si="12"/>
        <v>90405</v>
      </c>
      <c r="K26" s="1">
        <v>1940</v>
      </c>
      <c r="L26" s="1">
        <v>896</v>
      </c>
      <c r="M26" s="1">
        <v>260000</v>
      </c>
      <c r="N26" s="1">
        <v>4000</v>
      </c>
      <c r="O26" s="1">
        <f t="shared" si="8"/>
        <v>264000</v>
      </c>
      <c r="P26" s="1">
        <v>0</v>
      </c>
      <c r="Q26" s="11">
        <v>42326</v>
      </c>
    </row>
    <row r="27" spans="1:17" x14ac:dyDescent="0.25">
      <c r="A27" s="8" t="str">
        <f t="shared" si="0"/>
        <v>042</v>
      </c>
      <c r="B27" s="1" t="str">
        <f t="shared" si="1"/>
        <v>SANTA MONICA-MALIBU UNIFIED SCHOOL DISTRICT</v>
      </c>
      <c r="C27" s="1" t="str">
        <f t="shared" si="9"/>
        <v>004</v>
      </c>
      <c r="D27" s="1" t="str">
        <f t="shared" si="10"/>
        <v>GRANT ELEMENTARY SCHOOL</v>
      </c>
      <c r="E27" s="1" t="str">
        <f>"011"</f>
        <v>011</v>
      </c>
      <c r="F27" s="1" t="str">
        <f>"RESTROOM BUILDING #2"</f>
        <v>RESTROOM BUILDING #2</v>
      </c>
      <c r="G27" s="1" t="str">
        <f t="shared" si="11"/>
        <v>2368 PEARL STREET</v>
      </c>
      <c r="H27" s="1" t="str">
        <f t="shared" si="5"/>
        <v>SANTA MONICA</v>
      </c>
      <c r="I27" s="1" t="str">
        <f t="shared" si="6"/>
        <v>CA</v>
      </c>
      <c r="J27" s="1" t="str">
        <f t="shared" si="12"/>
        <v>90405</v>
      </c>
      <c r="K27" s="1">
        <v>1940</v>
      </c>
      <c r="L27" s="1">
        <v>860</v>
      </c>
      <c r="M27" s="1">
        <v>254000</v>
      </c>
      <c r="N27" s="1">
        <v>4000</v>
      </c>
      <c r="O27" s="1">
        <f t="shared" si="8"/>
        <v>258000</v>
      </c>
      <c r="P27" s="1">
        <v>0</v>
      </c>
      <c r="Q27" s="11">
        <v>42326</v>
      </c>
    </row>
    <row r="28" spans="1:17" x14ac:dyDescent="0.25">
      <c r="A28" s="8" t="str">
        <f t="shared" si="0"/>
        <v>042</v>
      </c>
      <c r="B28" s="1" t="str">
        <f t="shared" si="1"/>
        <v>SANTA MONICA-MALIBU UNIFIED SCHOOL DISTRICT</v>
      </c>
      <c r="C28" s="1" t="str">
        <f t="shared" si="9"/>
        <v>004</v>
      </c>
      <c r="D28" s="1" t="str">
        <f t="shared" si="10"/>
        <v>GRANT ELEMENTARY SCHOOL</v>
      </c>
      <c r="E28" s="1" t="str">
        <f>"012"</f>
        <v>012</v>
      </c>
      <c r="F28" s="1" t="str">
        <f>"PE STORAGE/RESTROOM BUILDING"</f>
        <v>PE STORAGE/RESTROOM BUILDING</v>
      </c>
      <c r="G28" s="1" t="str">
        <f t="shared" si="11"/>
        <v>2368 PEARL STREET</v>
      </c>
      <c r="H28" s="1" t="str">
        <f t="shared" si="5"/>
        <v>SANTA MONICA</v>
      </c>
      <c r="I28" s="1" t="str">
        <f t="shared" si="6"/>
        <v>CA</v>
      </c>
      <c r="J28" s="1" t="str">
        <f t="shared" si="12"/>
        <v>90405</v>
      </c>
      <c r="K28" s="1">
        <v>2000</v>
      </c>
      <c r="L28" s="1">
        <v>414</v>
      </c>
      <c r="M28" s="1">
        <v>102000</v>
      </c>
      <c r="N28" s="1">
        <v>2000</v>
      </c>
      <c r="O28" s="1">
        <f t="shared" si="8"/>
        <v>104000</v>
      </c>
      <c r="P28" s="1">
        <v>0</v>
      </c>
      <c r="Q28" s="11">
        <v>42326</v>
      </c>
    </row>
    <row r="29" spans="1:17" x14ac:dyDescent="0.25">
      <c r="A29" s="8" t="str">
        <f t="shared" si="0"/>
        <v>042</v>
      </c>
      <c r="B29" s="1" t="str">
        <f t="shared" si="1"/>
        <v>SANTA MONICA-MALIBU UNIFIED SCHOOL DISTRICT</v>
      </c>
      <c r="C29" s="1" t="str">
        <f t="shared" si="9"/>
        <v>004</v>
      </c>
      <c r="D29" s="1" t="str">
        <f t="shared" si="10"/>
        <v>GRANT ELEMENTARY SCHOOL</v>
      </c>
      <c r="E29" s="1" t="str">
        <f>"098A"</f>
        <v>098A</v>
      </c>
      <c r="F29" s="1" t="str">
        <f>"COVERED EATING AREA A"</f>
        <v>COVERED EATING AREA A</v>
      </c>
      <c r="G29" s="1" t="str">
        <f t="shared" si="11"/>
        <v>2368 PEARL STREET</v>
      </c>
      <c r="H29" s="1" t="str">
        <f t="shared" si="5"/>
        <v>SANTA MONICA</v>
      </c>
      <c r="I29" s="1" t="str">
        <f t="shared" si="6"/>
        <v>CA</v>
      </c>
      <c r="J29" s="1" t="str">
        <f t="shared" si="12"/>
        <v>90405</v>
      </c>
      <c r="K29" s="1">
        <v>2007</v>
      </c>
      <c r="L29" s="1">
        <v>324</v>
      </c>
      <c r="M29" s="1">
        <v>6000</v>
      </c>
      <c r="N29" s="1">
        <v>0</v>
      </c>
      <c r="O29" s="1">
        <f t="shared" si="8"/>
        <v>6000</v>
      </c>
      <c r="P29" s="1">
        <v>0</v>
      </c>
      <c r="Q29" s="11">
        <v>42326</v>
      </c>
    </row>
    <row r="30" spans="1:17" x14ac:dyDescent="0.25">
      <c r="A30" s="8" t="str">
        <f t="shared" si="0"/>
        <v>042</v>
      </c>
      <c r="B30" s="1" t="str">
        <f t="shared" si="1"/>
        <v>SANTA MONICA-MALIBU UNIFIED SCHOOL DISTRICT</v>
      </c>
      <c r="C30" s="1" t="str">
        <f t="shared" si="9"/>
        <v>004</v>
      </c>
      <c r="D30" s="1" t="str">
        <f t="shared" si="10"/>
        <v>GRANT ELEMENTARY SCHOOL</v>
      </c>
      <c r="E30" s="1" t="str">
        <f>"098B"</f>
        <v>098B</v>
      </c>
      <c r="F30" s="1" t="str">
        <f>"COVERED EATING AREA B"</f>
        <v>COVERED EATING AREA B</v>
      </c>
      <c r="G30" s="1" t="str">
        <f t="shared" si="11"/>
        <v>2368 PEARL STREET</v>
      </c>
      <c r="H30" s="1" t="str">
        <f t="shared" si="5"/>
        <v>SANTA MONICA</v>
      </c>
      <c r="I30" s="1" t="str">
        <f t="shared" si="6"/>
        <v>CA</v>
      </c>
      <c r="J30" s="1" t="str">
        <f t="shared" si="12"/>
        <v>90405</v>
      </c>
      <c r="K30" s="1">
        <v>2007</v>
      </c>
      <c r="L30" s="1">
        <v>324</v>
      </c>
      <c r="M30" s="1">
        <v>6000</v>
      </c>
      <c r="N30" s="1">
        <v>0</v>
      </c>
      <c r="O30" s="1">
        <f t="shared" si="8"/>
        <v>6000</v>
      </c>
      <c r="P30" s="1">
        <v>0</v>
      </c>
      <c r="Q30" s="11">
        <v>42326</v>
      </c>
    </row>
    <row r="31" spans="1:17" x14ac:dyDescent="0.25">
      <c r="A31" s="8" t="str">
        <f t="shared" si="0"/>
        <v>042</v>
      </c>
      <c r="B31" s="1" t="str">
        <f t="shared" si="1"/>
        <v>SANTA MONICA-MALIBU UNIFIED SCHOOL DISTRICT</v>
      </c>
      <c r="C31" s="1" t="str">
        <f t="shared" si="9"/>
        <v>004</v>
      </c>
      <c r="D31" s="1" t="str">
        <f t="shared" si="10"/>
        <v>GRANT ELEMENTARY SCHOOL</v>
      </c>
      <c r="E31" s="1" t="str">
        <f>"098C"</f>
        <v>098C</v>
      </c>
      <c r="F31" s="1" t="str">
        <f>"COVERED EATING AREA C"</f>
        <v>COVERED EATING AREA C</v>
      </c>
      <c r="G31" s="1" t="str">
        <f t="shared" si="11"/>
        <v>2368 PEARL STREET</v>
      </c>
      <c r="H31" s="1" t="str">
        <f t="shared" si="5"/>
        <v>SANTA MONICA</v>
      </c>
      <c r="I31" s="1" t="str">
        <f t="shared" si="6"/>
        <v>CA</v>
      </c>
      <c r="J31" s="1" t="str">
        <f t="shared" si="12"/>
        <v>90405</v>
      </c>
      <c r="K31" s="1">
        <v>2007</v>
      </c>
      <c r="L31" s="1">
        <v>324</v>
      </c>
      <c r="M31" s="1">
        <v>6000</v>
      </c>
      <c r="N31" s="1">
        <v>0</v>
      </c>
      <c r="O31" s="1">
        <f t="shared" si="8"/>
        <v>6000</v>
      </c>
      <c r="P31" s="1">
        <v>0</v>
      </c>
      <c r="Q31" s="11">
        <v>42326</v>
      </c>
    </row>
    <row r="32" spans="1:17" x14ac:dyDescent="0.25">
      <c r="A32" s="8" t="str">
        <f t="shared" si="0"/>
        <v>042</v>
      </c>
      <c r="B32" s="1" t="str">
        <f t="shared" si="1"/>
        <v>SANTA MONICA-MALIBU UNIFIED SCHOOL DISTRICT</v>
      </c>
      <c r="C32" s="1" t="str">
        <f t="shared" si="9"/>
        <v>004</v>
      </c>
      <c r="D32" s="1" t="str">
        <f t="shared" si="10"/>
        <v>GRANT ELEMENTARY SCHOOL</v>
      </c>
      <c r="E32" s="1" t="str">
        <f>"098D"</f>
        <v>098D</v>
      </c>
      <c r="F32" s="1" t="str">
        <f>"COVERED EATING AREA D"</f>
        <v>COVERED EATING AREA D</v>
      </c>
      <c r="G32" s="1" t="str">
        <f t="shared" si="11"/>
        <v>2368 PEARL STREET</v>
      </c>
      <c r="H32" s="1" t="str">
        <f t="shared" si="5"/>
        <v>SANTA MONICA</v>
      </c>
      <c r="I32" s="1" t="str">
        <f t="shared" si="6"/>
        <v>CA</v>
      </c>
      <c r="J32" s="1" t="str">
        <f t="shared" si="12"/>
        <v>90405</v>
      </c>
      <c r="K32" s="1">
        <v>2007</v>
      </c>
      <c r="L32" s="1">
        <v>324</v>
      </c>
      <c r="M32" s="1">
        <v>6000</v>
      </c>
      <c r="N32" s="1">
        <v>0</v>
      </c>
      <c r="O32" s="1">
        <f t="shared" si="8"/>
        <v>6000</v>
      </c>
      <c r="P32" s="1">
        <v>0</v>
      </c>
      <c r="Q32" s="11">
        <v>42326</v>
      </c>
    </row>
    <row r="33" spans="1:17" x14ac:dyDescent="0.25">
      <c r="A33" s="8" t="str">
        <f t="shared" si="0"/>
        <v>042</v>
      </c>
      <c r="B33" s="1" t="str">
        <f t="shared" si="1"/>
        <v>SANTA MONICA-MALIBU UNIFIED SCHOOL DISTRICT</v>
      </c>
      <c r="C33" s="1" t="str">
        <f t="shared" si="9"/>
        <v>004</v>
      </c>
      <c r="D33" s="1" t="str">
        <f t="shared" si="10"/>
        <v>GRANT ELEMENTARY SCHOOL</v>
      </c>
      <c r="E33" s="1" t="str">
        <f>"098E"</f>
        <v>098E</v>
      </c>
      <c r="F33" s="1" t="str">
        <f>"COVERED EATING AREA E"</f>
        <v>COVERED EATING AREA E</v>
      </c>
      <c r="G33" s="1" t="str">
        <f t="shared" si="11"/>
        <v>2368 PEARL STREET</v>
      </c>
      <c r="H33" s="1" t="str">
        <f t="shared" si="5"/>
        <v>SANTA MONICA</v>
      </c>
      <c r="I33" s="1" t="str">
        <f t="shared" si="6"/>
        <v>CA</v>
      </c>
      <c r="J33" s="1" t="str">
        <f t="shared" si="12"/>
        <v>90405</v>
      </c>
      <c r="K33" s="1">
        <v>2007</v>
      </c>
      <c r="L33" s="1">
        <v>324</v>
      </c>
      <c r="M33" s="1">
        <v>6000</v>
      </c>
      <c r="N33" s="1">
        <v>0</v>
      </c>
      <c r="O33" s="1">
        <f t="shared" si="8"/>
        <v>6000</v>
      </c>
      <c r="P33" s="1">
        <v>0</v>
      </c>
      <c r="Q33" s="11">
        <v>42326</v>
      </c>
    </row>
    <row r="34" spans="1:17" x14ac:dyDescent="0.25">
      <c r="A34" s="8" t="str">
        <f t="shared" si="0"/>
        <v>042</v>
      </c>
      <c r="B34" s="1" t="str">
        <f t="shared" si="1"/>
        <v>SANTA MONICA-MALIBU UNIFIED SCHOOL DISTRICT</v>
      </c>
      <c r="C34" s="1" t="str">
        <f t="shared" si="9"/>
        <v>004</v>
      </c>
      <c r="D34" s="1" t="str">
        <f t="shared" si="10"/>
        <v>GRANT ELEMENTARY SCHOOL</v>
      </c>
      <c r="E34" s="1" t="str">
        <f>"099"</f>
        <v>099</v>
      </c>
      <c r="F34" s="1" t="str">
        <f>"COVERED PASSAGES"</f>
        <v>COVERED PASSAGES</v>
      </c>
      <c r="G34" s="1" t="str">
        <f t="shared" si="11"/>
        <v>2368 PEARL STREET</v>
      </c>
      <c r="H34" s="1" t="str">
        <f t="shared" ref="H34:H65" si="13">"SANTA MONICA"</f>
        <v>SANTA MONICA</v>
      </c>
      <c r="I34" s="1" t="str">
        <f t="shared" si="6"/>
        <v>CA</v>
      </c>
      <c r="J34" s="1" t="str">
        <f t="shared" si="12"/>
        <v>90405</v>
      </c>
      <c r="K34" s="1">
        <v>1940</v>
      </c>
      <c r="L34" s="1">
        <v>3892</v>
      </c>
      <c r="M34" s="1">
        <v>121000</v>
      </c>
      <c r="N34" s="1">
        <v>0</v>
      </c>
      <c r="O34" s="1">
        <f t="shared" si="8"/>
        <v>121000</v>
      </c>
      <c r="P34" s="1">
        <v>0</v>
      </c>
      <c r="Q34" s="11">
        <v>42326</v>
      </c>
    </row>
    <row r="35" spans="1:17" x14ac:dyDescent="0.25">
      <c r="A35" s="8" t="str">
        <f t="shared" si="0"/>
        <v>042</v>
      </c>
      <c r="B35" s="1" t="str">
        <f t="shared" si="1"/>
        <v>SANTA MONICA-MALIBU UNIFIED SCHOOL DISTRICT</v>
      </c>
      <c r="C35" s="1" t="str">
        <f t="shared" si="9"/>
        <v>004</v>
      </c>
      <c r="D35" s="1" t="str">
        <f t="shared" si="10"/>
        <v>GRANT ELEMENTARY SCHOOL</v>
      </c>
      <c r="E35" s="1" t="str">
        <f>"901"</f>
        <v>901</v>
      </c>
      <c r="F35" s="1" t="str">
        <f>"PORTABLE CLASSROOM BUILDING RM 70"</f>
        <v>PORTABLE CLASSROOM BUILDING RM 70</v>
      </c>
      <c r="G35" s="1" t="str">
        <f t="shared" si="11"/>
        <v>2368 PEARL STREET</v>
      </c>
      <c r="H35" s="1" t="str">
        <f t="shared" si="13"/>
        <v>SANTA MONICA</v>
      </c>
      <c r="I35" s="1" t="str">
        <f t="shared" si="6"/>
        <v>CA</v>
      </c>
      <c r="J35" s="1" t="str">
        <f t="shared" si="12"/>
        <v>90405</v>
      </c>
      <c r="K35" s="1">
        <v>1992</v>
      </c>
      <c r="L35" s="1">
        <v>960</v>
      </c>
      <c r="M35" s="1">
        <v>96000</v>
      </c>
      <c r="N35" s="1">
        <v>21000</v>
      </c>
      <c r="O35" s="1">
        <f t="shared" si="8"/>
        <v>117000</v>
      </c>
      <c r="P35" s="1">
        <v>0</v>
      </c>
      <c r="Q35" s="11">
        <v>42326</v>
      </c>
    </row>
    <row r="36" spans="1:17" x14ac:dyDescent="0.25">
      <c r="A36" s="8" t="str">
        <f t="shared" si="0"/>
        <v>042</v>
      </c>
      <c r="B36" s="1" t="str">
        <f t="shared" si="1"/>
        <v>SANTA MONICA-MALIBU UNIFIED SCHOOL DISTRICT</v>
      </c>
      <c r="C36" s="1" t="str">
        <f t="shared" si="9"/>
        <v>004</v>
      </c>
      <c r="D36" s="1" t="str">
        <f t="shared" si="10"/>
        <v>GRANT ELEMENTARY SCHOOL</v>
      </c>
      <c r="E36" s="1" t="str">
        <f>"902"</f>
        <v>902</v>
      </c>
      <c r="F36" s="1" t="str">
        <f>"PORTABLE CLASSROOM BUILDING RM 71"</f>
        <v>PORTABLE CLASSROOM BUILDING RM 71</v>
      </c>
      <c r="G36" s="1" t="str">
        <f t="shared" si="11"/>
        <v>2368 PEARL STREET</v>
      </c>
      <c r="H36" s="1" t="str">
        <f t="shared" si="13"/>
        <v>SANTA MONICA</v>
      </c>
      <c r="I36" s="1" t="str">
        <f t="shared" si="6"/>
        <v>CA</v>
      </c>
      <c r="J36" s="1" t="str">
        <f t="shared" si="12"/>
        <v>90405</v>
      </c>
      <c r="K36" s="1">
        <v>1992</v>
      </c>
      <c r="L36" s="1">
        <v>960</v>
      </c>
      <c r="M36" s="1">
        <v>96000</v>
      </c>
      <c r="N36" s="1">
        <v>21000</v>
      </c>
      <c r="O36" s="1">
        <f t="shared" si="8"/>
        <v>117000</v>
      </c>
      <c r="P36" s="1">
        <v>0</v>
      </c>
      <c r="Q36" s="11">
        <v>42326</v>
      </c>
    </row>
    <row r="37" spans="1:17" x14ac:dyDescent="0.25">
      <c r="A37" s="8" t="str">
        <f t="shared" si="0"/>
        <v>042</v>
      </c>
      <c r="B37" s="1" t="str">
        <f t="shared" si="1"/>
        <v>SANTA MONICA-MALIBU UNIFIED SCHOOL DISTRICT</v>
      </c>
      <c r="C37" s="1" t="str">
        <f t="shared" si="9"/>
        <v>004</v>
      </c>
      <c r="D37" s="1" t="str">
        <f t="shared" si="10"/>
        <v>GRANT ELEMENTARY SCHOOL</v>
      </c>
      <c r="E37" s="1" t="str">
        <f>"903"</f>
        <v>903</v>
      </c>
      <c r="F37" s="1" t="str">
        <f>"PORTABLE CLASSROOM BUILDING RM 72"</f>
        <v>PORTABLE CLASSROOM BUILDING RM 72</v>
      </c>
      <c r="G37" s="1" t="str">
        <f t="shared" si="11"/>
        <v>2368 PEARL STREET</v>
      </c>
      <c r="H37" s="1" t="str">
        <f t="shared" si="13"/>
        <v>SANTA MONICA</v>
      </c>
      <c r="I37" s="1" t="str">
        <f t="shared" si="6"/>
        <v>CA</v>
      </c>
      <c r="J37" s="1" t="str">
        <f t="shared" si="12"/>
        <v>90405</v>
      </c>
      <c r="K37" s="1">
        <v>1992</v>
      </c>
      <c r="L37" s="1">
        <v>960</v>
      </c>
      <c r="M37" s="1">
        <v>96000</v>
      </c>
      <c r="N37" s="1">
        <v>21000</v>
      </c>
      <c r="O37" s="1">
        <f t="shared" si="8"/>
        <v>117000</v>
      </c>
      <c r="P37" s="1">
        <v>0</v>
      </c>
      <c r="Q37" s="11">
        <v>42326</v>
      </c>
    </row>
    <row r="38" spans="1:17" x14ac:dyDescent="0.25">
      <c r="A38" s="8" t="str">
        <f t="shared" si="0"/>
        <v>042</v>
      </c>
      <c r="B38" s="1" t="str">
        <f t="shared" si="1"/>
        <v>SANTA MONICA-MALIBU UNIFIED SCHOOL DISTRICT</v>
      </c>
      <c r="C38" s="1" t="str">
        <f t="shared" si="9"/>
        <v>004</v>
      </c>
      <c r="D38" s="1" t="str">
        <f t="shared" si="10"/>
        <v>GRANT ELEMENTARY SCHOOL</v>
      </c>
      <c r="E38" s="1" t="str">
        <f>"904"</f>
        <v>904</v>
      </c>
      <c r="F38" s="1" t="str">
        <f>"PORTABLE CLASSROOM BUILDING RM 73"</f>
        <v>PORTABLE CLASSROOM BUILDING RM 73</v>
      </c>
      <c r="G38" s="1" t="str">
        <f t="shared" si="11"/>
        <v>2368 PEARL STREET</v>
      </c>
      <c r="H38" s="1" t="str">
        <f t="shared" si="13"/>
        <v>SANTA MONICA</v>
      </c>
      <c r="I38" s="1" t="str">
        <f t="shared" si="6"/>
        <v>CA</v>
      </c>
      <c r="J38" s="1" t="str">
        <f t="shared" si="12"/>
        <v>90405</v>
      </c>
      <c r="K38" s="1">
        <v>1997</v>
      </c>
      <c r="L38" s="1">
        <v>960</v>
      </c>
      <c r="M38" s="1">
        <v>96000</v>
      </c>
      <c r="N38" s="1">
        <v>21000</v>
      </c>
      <c r="O38" s="1">
        <f t="shared" si="8"/>
        <v>117000</v>
      </c>
      <c r="P38" s="1">
        <v>0</v>
      </c>
      <c r="Q38" s="11">
        <v>42326</v>
      </c>
    </row>
    <row r="39" spans="1:17" x14ac:dyDescent="0.25">
      <c r="A39" s="8" t="str">
        <f t="shared" si="0"/>
        <v>042</v>
      </c>
      <c r="B39" s="1" t="str">
        <f t="shared" si="1"/>
        <v>SANTA MONICA-MALIBU UNIFIED SCHOOL DISTRICT</v>
      </c>
      <c r="C39" s="1" t="str">
        <f t="shared" si="9"/>
        <v>004</v>
      </c>
      <c r="D39" s="1" t="str">
        <f t="shared" si="10"/>
        <v>GRANT ELEMENTARY SCHOOL</v>
      </c>
      <c r="E39" s="1" t="str">
        <f>"905"</f>
        <v>905</v>
      </c>
      <c r="F39" s="1" t="str">
        <f>"PORTABLE CLASSROOM BUILDING RM 74"</f>
        <v>PORTABLE CLASSROOM BUILDING RM 74</v>
      </c>
      <c r="G39" s="1" t="str">
        <f t="shared" si="11"/>
        <v>2368 PEARL STREET</v>
      </c>
      <c r="H39" s="1" t="str">
        <f t="shared" si="13"/>
        <v>SANTA MONICA</v>
      </c>
      <c r="I39" s="1" t="str">
        <f t="shared" si="6"/>
        <v>CA</v>
      </c>
      <c r="J39" s="1" t="str">
        <f t="shared" si="12"/>
        <v>90405</v>
      </c>
      <c r="K39" s="1">
        <v>1997</v>
      </c>
      <c r="L39" s="1">
        <v>960</v>
      </c>
      <c r="M39" s="1">
        <v>96000</v>
      </c>
      <c r="N39" s="1">
        <v>21000</v>
      </c>
      <c r="O39" s="1">
        <f t="shared" si="8"/>
        <v>117000</v>
      </c>
      <c r="P39" s="1">
        <v>0</v>
      </c>
      <c r="Q39" s="11">
        <v>42326</v>
      </c>
    </row>
    <row r="40" spans="1:17" x14ac:dyDescent="0.25">
      <c r="A40" s="8" t="str">
        <f t="shared" si="0"/>
        <v>042</v>
      </c>
      <c r="B40" s="1" t="str">
        <f t="shared" si="1"/>
        <v>SANTA MONICA-MALIBU UNIFIED SCHOOL DISTRICT</v>
      </c>
      <c r="C40" s="1" t="str">
        <f t="shared" si="9"/>
        <v>004</v>
      </c>
      <c r="D40" s="1" t="str">
        <f t="shared" si="10"/>
        <v>GRANT ELEMENTARY SCHOOL</v>
      </c>
      <c r="E40" s="1" t="str">
        <f>"906"</f>
        <v>906</v>
      </c>
      <c r="F40" s="1" t="str">
        <f>"PORTABLE CLASSROOM BUILDING RM 75"</f>
        <v>PORTABLE CLASSROOM BUILDING RM 75</v>
      </c>
      <c r="G40" s="1" t="str">
        <f t="shared" si="11"/>
        <v>2368 PEARL STREET</v>
      </c>
      <c r="H40" s="1" t="str">
        <f t="shared" si="13"/>
        <v>SANTA MONICA</v>
      </c>
      <c r="I40" s="1" t="str">
        <f t="shared" si="6"/>
        <v>CA</v>
      </c>
      <c r="J40" s="1" t="str">
        <f t="shared" si="12"/>
        <v>90405</v>
      </c>
      <c r="K40" s="1">
        <v>1997</v>
      </c>
      <c r="L40" s="1">
        <v>960</v>
      </c>
      <c r="M40" s="1">
        <v>96000</v>
      </c>
      <c r="N40" s="1">
        <v>21000</v>
      </c>
      <c r="O40" s="1">
        <f t="shared" si="8"/>
        <v>117000</v>
      </c>
      <c r="P40" s="1">
        <v>0</v>
      </c>
      <c r="Q40" s="11">
        <v>42326</v>
      </c>
    </row>
    <row r="41" spans="1:17" x14ac:dyDescent="0.25">
      <c r="A41" s="8" t="str">
        <f t="shared" si="0"/>
        <v>042</v>
      </c>
      <c r="B41" s="1" t="str">
        <f t="shared" si="1"/>
        <v>SANTA MONICA-MALIBU UNIFIED SCHOOL DISTRICT</v>
      </c>
      <c r="C41" s="1" t="str">
        <f t="shared" si="9"/>
        <v>004</v>
      </c>
      <c r="D41" s="1" t="str">
        <f t="shared" si="10"/>
        <v>GRANT ELEMENTARY SCHOOL</v>
      </c>
      <c r="E41" s="1" t="str">
        <f>"907"</f>
        <v>907</v>
      </c>
      <c r="F41" s="1" t="str">
        <f>"PORTABLE CLASSROOM BUILDING RM 80"</f>
        <v>PORTABLE CLASSROOM BUILDING RM 80</v>
      </c>
      <c r="G41" s="1" t="str">
        <f t="shared" si="11"/>
        <v>2368 PEARL STREET</v>
      </c>
      <c r="H41" s="1" t="str">
        <f t="shared" si="13"/>
        <v>SANTA MONICA</v>
      </c>
      <c r="I41" s="1" t="str">
        <f t="shared" si="6"/>
        <v>CA</v>
      </c>
      <c r="J41" s="1" t="str">
        <f t="shared" si="12"/>
        <v>90405</v>
      </c>
      <c r="K41" s="1">
        <v>1999</v>
      </c>
      <c r="L41" s="1">
        <v>960</v>
      </c>
      <c r="M41" s="1">
        <v>96000</v>
      </c>
      <c r="N41" s="1">
        <v>21000</v>
      </c>
      <c r="O41" s="1">
        <f t="shared" si="8"/>
        <v>117000</v>
      </c>
      <c r="P41" s="1">
        <v>0</v>
      </c>
      <c r="Q41" s="11">
        <v>42326</v>
      </c>
    </row>
    <row r="42" spans="1:17" x14ac:dyDescent="0.25">
      <c r="A42" s="8" t="str">
        <f t="shared" si="0"/>
        <v>042</v>
      </c>
      <c r="B42" s="1" t="str">
        <f t="shared" si="1"/>
        <v>SANTA MONICA-MALIBU UNIFIED SCHOOL DISTRICT</v>
      </c>
      <c r="C42" s="1" t="str">
        <f t="shared" si="9"/>
        <v>004</v>
      </c>
      <c r="D42" s="1" t="str">
        <f t="shared" si="10"/>
        <v>GRANT ELEMENTARY SCHOOL</v>
      </c>
      <c r="E42" s="1" t="str">
        <f>"908"</f>
        <v>908</v>
      </c>
      <c r="F42" s="1" t="str">
        <f>"PORTABLE CLASSROOM BUILDING RM 81"</f>
        <v>PORTABLE CLASSROOM BUILDING RM 81</v>
      </c>
      <c r="G42" s="1" t="str">
        <f t="shared" si="11"/>
        <v>2368 PEARL STREET</v>
      </c>
      <c r="H42" s="1" t="str">
        <f t="shared" si="13"/>
        <v>SANTA MONICA</v>
      </c>
      <c r="I42" s="1" t="str">
        <f t="shared" si="6"/>
        <v>CA</v>
      </c>
      <c r="J42" s="1" t="str">
        <f t="shared" si="12"/>
        <v>90405</v>
      </c>
      <c r="K42" s="1">
        <v>1999</v>
      </c>
      <c r="L42" s="1">
        <v>960</v>
      </c>
      <c r="M42" s="1">
        <v>96000</v>
      </c>
      <c r="N42" s="1">
        <v>21000</v>
      </c>
      <c r="O42" s="1">
        <f t="shared" si="8"/>
        <v>117000</v>
      </c>
      <c r="P42" s="1">
        <v>0</v>
      </c>
      <c r="Q42" s="11">
        <v>42326</v>
      </c>
    </row>
    <row r="43" spans="1:17" x14ac:dyDescent="0.25">
      <c r="A43" s="8" t="str">
        <f t="shared" si="0"/>
        <v>042</v>
      </c>
      <c r="B43" s="1" t="str">
        <f t="shared" si="1"/>
        <v>SANTA MONICA-MALIBU UNIFIED SCHOOL DISTRICT</v>
      </c>
      <c r="C43" s="1" t="str">
        <f t="shared" si="9"/>
        <v>004</v>
      </c>
      <c r="D43" s="1" t="str">
        <f t="shared" si="10"/>
        <v>GRANT ELEMENTARY SCHOOL</v>
      </c>
      <c r="E43" s="1" t="str">
        <f>"909"</f>
        <v>909</v>
      </c>
      <c r="F43" s="1" t="str">
        <f>"PORTABLE CLASSROOM BUILDING RM 82"</f>
        <v>PORTABLE CLASSROOM BUILDING RM 82</v>
      </c>
      <c r="G43" s="1" t="str">
        <f t="shared" si="11"/>
        <v>2368 PEARL STREET</v>
      </c>
      <c r="H43" s="1" t="str">
        <f t="shared" si="13"/>
        <v>SANTA MONICA</v>
      </c>
      <c r="I43" s="1" t="str">
        <f t="shared" si="6"/>
        <v>CA</v>
      </c>
      <c r="J43" s="1" t="str">
        <f t="shared" si="12"/>
        <v>90405</v>
      </c>
      <c r="K43" s="1">
        <v>1999</v>
      </c>
      <c r="L43" s="1">
        <v>960</v>
      </c>
      <c r="M43" s="1">
        <v>96000</v>
      </c>
      <c r="N43" s="1">
        <v>21000</v>
      </c>
      <c r="O43" s="1">
        <f t="shared" si="8"/>
        <v>117000</v>
      </c>
      <c r="P43" s="1">
        <v>0</v>
      </c>
      <c r="Q43" s="11">
        <v>42326</v>
      </c>
    </row>
    <row r="44" spans="1:17" x14ac:dyDescent="0.25">
      <c r="A44" s="8" t="str">
        <f t="shared" si="0"/>
        <v>042</v>
      </c>
      <c r="B44" s="1" t="str">
        <f t="shared" si="1"/>
        <v>SANTA MONICA-MALIBU UNIFIED SCHOOL DISTRICT</v>
      </c>
      <c r="C44" s="1" t="str">
        <f t="shared" si="9"/>
        <v>004</v>
      </c>
      <c r="D44" s="1" t="str">
        <f t="shared" si="10"/>
        <v>GRANT ELEMENTARY SCHOOL</v>
      </c>
      <c r="E44" s="1" t="str">
        <f>"910"</f>
        <v>910</v>
      </c>
      <c r="F44" s="1" t="str">
        <f>"PORTABLE CLASSROOM BUILDING RM 83"</f>
        <v>PORTABLE CLASSROOM BUILDING RM 83</v>
      </c>
      <c r="G44" s="1" t="str">
        <f t="shared" si="11"/>
        <v>2368 PEARL STREET</v>
      </c>
      <c r="H44" s="1" t="str">
        <f t="shared" si="13"/>
        <v>SANTA MONICA</v>
      </c>
      <c r="I44" s="1" t="str">
        <f t="shared" si="6"/>
        <v>CA</v>
      </c>
      <c r="J44" s="1" t="str">
        <f t="shared" si="12"/>
        <v>90405</v>
      </c>
      <c r="K44" s="1">
        <v>1999</v>
      </c>
      <c r="L44" s="1">
        <v>960</v>
      </c>
      <c r="M44" s="1">
        <v>96000</v>
      </c>
      <c r="N44" s="1">
        <v>21000</v>
      </c>
      <c r="O44" s="1">
        <f t="shared" si="8"/>
        <v>117000</v>
      </c>
      <c r="P44" s="1">
        <v>0</v>
      </c>
      <c r="Q44" s="11">
        <v>42326</v>
      </c>
    </row>
    <row r="45" spans="1:17" x14ac:dyDescent="0.25">
      <c r="A45" s="8" t="str">
        <f t="shared" si="0"/>
        <v>042</v>
      </c>
      <c r="B45" s="1" t="str">
        <f t="shared" si="1"/>
        <v>SANTA MONICA-MALIBU UNIFIED SCHOOL DISTRICT</v>
      </c>
      <c r="C45" s="1" t="str">
        <f t="shared" ref="C45:C65" si="14">"003"</f>
        <v>003</v>
      </c>
      <c r="D45" s="1" t="str">
        <f t="shared" ref="D45:D65" si="15">"FRANKLIN ELEMENTARY SCHOOL"</f>
        <v>FRANKLIN ELEMENTARY SCHOOL</v>
      </c>
      <c r="E45" s="1" t="str">
        <f>"008"</f>
        <v>008</v>
      </c>
      <c r="F45" s="1" t="str">
        <f>"CLASSROOM BUILDING RMS 43-45"</f>
        <v>CLASSROOM BUILDING RMS 43-45</v>
      </c>
      <c r="G45" s="1" t="str">
        <f t="shared" ref="G45:G65" si="16">"2400 MONTANA AVENUE"</f>
        <v>2400 MONTANA AVENUE</v>
      </c>
      <c r="H45" s="1" t="str">
        <f t="shared" si="13"/>
        <v>SANTA MONICA</v>
      </c>
      <c r="I45" s="1" t="str">
        <f t="shared" si="6"/>
        <v>CA</v>
      </c>
      <c r="J45" s="1" t="str">
        <f t="shared" ref="J45:J65" si="17">"90403"</f>
        <v>90403</v>
      </c>
      <c r="K45" s="1">
        <v>2002</v>
      </c>
      <c r="L45" s="1">
        <v>2904</v>
      </c>
      <c r="M45" s="1">
        <v>749000</v>
      </c>
      <c r="N45" s="1">
        <v>88000</v>
      </c>
      <c r="O45" s="1">
        <f t="shared" si="8"/>
        <v>837000</v>
      </c>
      <c r="P45" s="1">
        <v>0</v>
      </c>
      <c r="Q45" s="11">
        <v>42323</v>
      </c>
    </row>
    <row r="46" spans="1:17" x14ac:dyDescent="0.25">
      <c r="A46" s="8" t="str">
        <f t="shared" si="0"/>
        <v>042</v>
      </c>
      <c r="B46" s="1" t="str">
        <f t="shared" si="1"/>
        <v>SANTA MONICA-MALIBU UNIFIED SCHOOL DISTRICT</v>
      </c>
      <c r="C46" s="1" t="str">
        <f t="shared" si="14"/>
        <v>003</v>
      </c>
      <c r="D46" s="1" t="str">
        <f t="shared" si="15"/>
        <v>FRANKLIN ELEMENTARY SCHOOL</v>
      </c>
      <c r="E46" s="1" t="str">
        <f>"009"</f>
        <v>009</v>
      </c>
      <c r="F46" s="1" t="str">
        <f>"PE STORAGE/RESTROOM BUILDING"</f>
        <v>PE STORAGE/RESTROOM BUILDING</v>
      </c>
      <c r="G46" s="1" t="str">
        <f t="shared" si="16"/>
        <v>2400 MONTANA AVENUE</v>
      </c>
      <c r="H46" s="1" t="str">
        <f t="shared" si="13"/>
        <v>SANTA MONICA</v>
      </c>
      <c r="I46" s="1" t="str">
        <f t="shared" si="6"/>
        <v>CA</v>
      </c>
      <c r="J46" s="1" t="str">
        <f t="shared" si="17"/>
        <v>90403</v>
      </c>
      <c r="K46" s="1">
        <v>2000</v>
      </c>
      <c r="L46" s="1">
        <v>414</v>
      </c>
      <c r="M46" s="1">
        <v>104000</v>
      </c>
      <c r="N46" s="1">
        <v>2000</v>
      </c>
      <c r="O46" s="1">
        <f t="shared" si="8"/>
        <v>106000</v>
      </c>
      <c r="P46" s="1">
        <v>0</v>
      </c>
      <c r="Q46" s="11">
        <v>42323</v>
      </c>
    </row>
    <row r="47" spans="1:17" x14ac:dyDescent="0.25">
      <c r="A47" s="8" t="str">
        <f t="shared" si="0"/>
        <v>042</v>
      </c>
      <c r="B47" s="1" t="str">
        <f t="shared" si="1"/>
        <v>SANTA MONICA-MALIBU UNIFIED SCHOOL DISTRICT</v>
      </c>
      <c r="C47" s="1" t="str">
        <f t="shared" si="14"/>
        <v>003</v>
      </c>
      <c r="D47" s="1" t="str">
        <f t="shared" si="15"/>
        <v>FRANKLIN ELEMENTARY SCHOOL</v>
      </c>
      <c r="E47" s="1" t="str">
        <f>"005"</f>
        <v>005</v>
      </c>
      <c r="F47" s="1" t="str">
        <f>"CLASSROOM BUILDING RMS 8-14"</f>
        <v>CLASSROOM BUILDING RMS 8-14</v>
      </c>
      <c r="G47" s="1" t="str">
        <f t="shared" si="16"/>
        <v>2400 MONTANA AVENUE</v>
      </c>
      <c r="H47" s="1" t="str">
        <f t="shared" si="13"/>
        <v>SANTA MONICA</v>
      </c>
      <c r="I47" s="1" t="str">
        <f t="shared" si="6"/>
        <v>CA</v>
      </c>
      <c r="J47" s="1" t="str">
        <f t="shared" si="17"/>
        <v>90403</v>
      </c>
      <c r="K47" s="1">
        <v>1937</v>
      </c>
      <c r="L47" s="1">
        <v>7800</v>
      </c>
      <c r="M47" s="1">
        <v>2239000</v>
      </c>
      <c r="N47" s="1">
        <v>236000</v>
      </c>
      <c r="O47" s="1">
        <f t="shared" si="8"/>
        <v>2475000</v>
      </c>
      <c r="P47" s="1">
        <v>0</v>
      </c>
      <c r="Q47" s="11">
        <v>42323</v>
      </c>
    </row>
    <row r="48" spans="1:17" x14ac:dyDescent="0.25">
      <c r="A48" s="8" t="str">
        <f t="shared" si="0"/>
        <v>042</v>
      </c>
      <c r="B48" s="1" t="str">
        <f t="shared" si="1"/>
        <v>SANTA MONICA-MALIBU UNIFIED SCHOOL DISTRICT</v>
      </c>
      <c r="C48" s="1" t="str">
        <f t="shared" si="14"/>
        <v>003</v>
      </c>
      <c r="D48" s="1" t="str">
        <f t="shared" si="15"/>
        <v>FRANKLIN ELEMENTARY SCHOOL</v>
      </c>
      <c r="E48" s="1" t="str">
        <f>"007"</f>
        <v>007</v>
      </c>
      <c r="F48" s="1" t="str">
        <f>"CLASSROOM BUILDING RMS 18-20"</f>
        <v>CLASSROOM BUILDING RMS 18-20</v>
      </c>
      <c r="G48" s="1" t="str">
        <f t="shared" si="16"/>
        <v>2400 MONTANA AVENUE</v>
      </c>
      <c r="H48" s="1" t="str">
        <f t="shared" si="13"/>
        <v>SANTA MONICA</v>
      </c>
      <c r="I48" s="1" t="str">
        <f t="shared" si="6"/>
        <v>CA</v>
      </c>
      <c r="J48" s="1" t="str">
        <f t="shared" si="17"/>
        <v>90403</v>
      </c>
      <c r="K48" s="1">
        <v>1948</v>
      </c>
      <c r="L48" s="1">
        <v>2976</v>
      </c>
      <c r="M48" s="1">
        <v>940000</v>
      </c>
      <c r="N48" s="1">
        <v>90000</v>
      </c>
      <c r="O48" s="1">
        <f t="shared" si="8"/>
        <v>1030000</v>
      </c>
      <c r="P48" s="1">
        <v>0</v>
      </c>
      <c r="Q48" s="11">
        <v>42323</v>
      </c>
    </row>
    <row r="49" spans="1:17" x14ac:dyDescent="0.25">
      <c r="A49" s="8" t="str">
        <f t="shared" si="0"/>
        <v>042</v>
      </c>
      <c r="B49" s="1" t="str">
        <f t="shared" si="1"/>
        <v>SANTA MONICA-MALIBU UNIFIED SCHOOL DISTRICT</v>
      </c>
      <c r="C49" s="1" t="str">
        <f t="shared" si="14"/>
        <v>003</v>
      </c>
      <c r="D49" s="1" t="str">
        <f t="shared" si="15"/>
        <v>FRANKLIN ELEMENTARY SCHOOL</v>
      </c>
      <c r="E49" s="1" t="str">
        <f>"006"</f>
        <v>006</v>
      </c>
      <c r="F49" s="1" t="str">
        <f>"CLASSROOM BUILDING RMS 15-17"</f>
        <v>CLASSROOM BUILDING RMS 15-17</v>
      </c>
      <c r="G49" s="1" t="str">
        <f t="shared" si="16"/>
        <v>2400 MONTANA AVENUE</v>
      </c>
      <c r="H49" s="1" t="str">
        <f t="shared" si="13"/>
        <v>SANTA MONICA</v>
      </c>
      <c r="I49" s="1" t="str">
        <f t="shared" si="6"/>
        <v>CA</v>
      </c>
      <c r="J49" s="1" t="str">
        <f t="shared" si="17"/>
        <v>90403</v>
      </c>
      <c r="K49" s="1">
        <v>1948</v>
      </c>
      <c r="L49" s="1">
        <v>3534</v>
      </c>
      <c r="M49" s="1">
        <v>1105000</v>
      </c>
      <c r="N49" s="1">
        <v>107000</v>
      </c>
      <c r="O49" s="1">
        <f t="shared" si="8"/>
        <v>1212000</v>
      </c>
      <c r="P49" s="1">
        <v>0</v>
      </c>
      <c r="Q49" s="11">
        <v>42323</v>
      </c>
    </row>
    <row r="50" spans="1:17" x14ac:dyDescent="0.25">
      <c r="A50" s="8" t="str">
        <f t="shared" si="0"/>
        <v>042</v>
      </c>
      <c r="B50" s="1" t="str">
        <f t="shared" si="1"/>
        <v>SANTA MONICA-MALIBU UNIFIED SCHOOL DISTRICT</v>
      </c>
      <c r="C50" s="1" t="str">
        <f t="shared" si="14"/>
        <v>003</v>
      </c>
      <c r="D50" s="1" t="str">
        <f t="shared" si="15"/>
        <v>FRANKLIN ELEMENTARY SCHOOL</v>
      </c>
      <c r="E50" s="1" t="str">
        <f>"004"</f>
        <v>004</v>
      </c>
      <c r="F50" s="1" t="str">
        <f>"LIBRARY BUILDING"</f>
        <v>LIBRARY BUILDING</v>
      </c>
      <c r="G50" s="1" t="str">
        <f t="shared" si="16"/>
        <v>2400 MONTANA AVENUE</v>
      </c>
      <c r="H50" s="1" t="str">
        <f t="shared" si="13"/>
        <v>SANTA MONICA</v>
      </c>
      <c r="I50" s="1" t="str">
        <f t="shared" si="6"/>
        <v>CA</v>
      </c>
      <c r="J50" s="1" t="str">
        <f t="shared" si="17"/>
        <v>90403</v>
      </c>
      <c r="K50" s="1">
        <v>1927</v>
      </c>
      <c r="L50" s="1">
        <v>2870</v>
      </c>
      <c r="M50" s="1">
        <v>874000</v>
      </c>
      <c r="N50" s="1">
        <v>258000</v>
      </c>
      <c r="O50" s="1">
        <f t="shared" si="8"/>
        <v>1132000</v>
      </c>
      <c r="P50" s="1">
        <v>0</v>
      </c>
      <c r="Q50" s="11">
        <v>42323</v>
      </c>
    </row>
    <row r="51" spans="1:17" x14ac:dyDescent="0.25">
      <c r="A51" s="8" t="str">
        <f t="shared" si="0"/>
        <v>042</v>
      </c>
      <c r="B51" s="1" t="str">
        <f t="shared" si="1"/>
        <v>SANTA MONICA-MALIBU UNIFIED SCHOOL DISTRICT</v>
      </c>
      <c r="C51" s="1" t="str">
        <f t="shared" si="14"/>
        <v>003</v>
      </c>
      <c r="D51" s="1" t="str">
        <f t="shared" si="15"/>
        <v>FRANKLIN ELEMENTARY SCHOOL</v>
      </c>
      <c r="E51" s="1" t="str">
        <f>"002"</f>
        <v>002</v>
      </c>
      <c r="F51" s="1" t="str">
        <f>"MULTIPURPOSE BUILDING"</f>
        <v>MULTIPURPOSE BUILDING</v>
      </c>
      <c r="G51" s="1" t="str">
        <f t="shared" si="16"/>
        <v>2400 MONTANA AVENUE</v>
      </c>
      <c r="H51" s="1" t="str">
        <f t="shared" si="13"/>
        <v>SANTA MONICA</v>
      </c>
      <c r="I51" s="1" t="str">
        <f t="shared" si="6"/>
        <v>CA</v>
      </c>
      <c r="J51" s="1" t="str">
        <f t="shared" si="17"/>
        <v>90403</v>
      </c>
      <c r="K51" s="1">
        <v>1948</v>
      </c>
      <c r="L51" s="1">
        <v>5576</v>
      </c>
      <c r="M51" s="1">
        <v>1655000</v>
      </c>
      <c r="N51" s="1">
        <v>175000</v>
      </c>
      <c r="O51" s="1">
        <f t="shared" si="8"/>
        <v>1830000</v>
      </c>
      <c r="P51" s="1">
        <v>0</v>
      </c>
      <c r="Q51" s="11">
        <v>42323</v>
      </c>
    </row>
    <row r="52" spans="1:17" x14ac:dyDescent="0.25">
      <c r="A52" s="8" t="str">
        <f t="shared" si="0"/>
        <v>042</v>
      </c>
      <c r="B52" s="1" t="str">
        <f t="shared" si="1"/>
        <v>SANTA MONICA-MALIBU UNIFIED SCHOOL DISTRICT</v>
      </c>
      <c r="C52" s="1" t="str">
        <f t="shared" si="14"/>
        <v>003</v>
      </c>
      <c r="D52" s="1" t="str">
        <f t="shared" si="15"/>
        <v>FRANKLIN ELEMENTARY SCHOOL</v>
      </c>
      <c r="E52" s="1" t="str">
        <f>"001"</f>
        <v>001</v>
      </c>
      <c r="F52" s="1" t="str">
        <f>"ADMINISTRATION/CLASSROOM BUILDING"</f>
        <v>ADMINISTRATION/CLASSROOM BUILDING</v>
      </c>
      <c r="G52" s="1" t="str">
        <f t="shared" si="16"/>
        <v>2400 MONTANA AVENUE</v>
      </c>
      <c r="H52" s="1" t="str">
        <f t="shared" si="13"/>
        <v>SANTA MONICA</v>
      </c>
      <c r="I52" s="1" t="str">
        <f t="shared" si="6"/>
        <v>CA</v>
      </c>
      <c r="J52" s="1" t="str">
        <f t="shared" si="17"/>
        <v>90403</v>
      </c>
      <c r="K52" s="1">
        <v>1927</v>
      </c>
      <c r="L52" s="1">
        <v>22768</v>
      </c>
      <c r="M52" s="1">
        <v>6843000</v>
      </c>
      <c r="N52" s="1">
        <v>844000</v>
      </c>
      <c r="O52" s="1">
        <f t="shared" si="8"/>
        <v>7687000</v>
      </c>
      <c r="P52" s="1">
        <v>5103</v>
      </c>
      <c r="Q52" s="11">
        <v>42323</v>
      </c>
    </row>
    <row r="53" spans="1:17" x14ac:dyDescent="0.25">
      <c r="A53" s="8" t="str">
        <f t="shared" si="0"/>
        <v>042</v>
      </c>
      <c r="B53" s="1" t="str">
        <f t="shared" si="1"/>
        <v>SANTA MONICA-MALIBU UNIFIED SCHOOL DISTRICT</v>
      </c>
      <c r="C53" s="1" t="str">
        <f t="shared" si="14"/>
        <v>003</v>
      </c>
      <c r="D53" s="1" t="str">
        <f t="shared" si="15"/>
        <v>FRANKLIN ELEMENTARY SCHOOL</v>
      </c>
      <c r="E53" s="1" t="str">
        <f>"003"</f>
        <v>003</v>
      </c>
      <c r="F53" s="1" t="str">
        <f>"CLASSROOM BUILDING RMS K29-K31"</f>
        <v>CLASSROOM BUILDING RMS K29-K31</v>
      </c>
      <c r="G53" s="1" t="str">
        <f t="shared" si="16"/>
        <v>2400 MONTANA AVENUE</v>
      </c>
      <c r="H53" s="1" t="str">
        <f t="shared" si="13"/>
        <v>SANTA MONICA</v>
      </c>
      <c r="I53" s="1" t="str">
        <f t="shared" si="6"/>
        <v>CA</v>
      </c>
      <c r="J53" s="1" t="str">
        <f t="shared" si="17"/>
        <v>90403</v>
      </c>
      <c r="K53" s="1">
        <v>1948</v>
      </c>
      <c r="L53" s="1">
        <v>3966</v>
      </c>
      <c r="M53" s="1">
        <v>921000</v>
      </c>
      <c r="N53" s="1">
        <v>120000</v>
      </c>
      <c r="O53" s="1">
        <f t="shared" si="8"/>
        <v>1041000</v>
      </c>
      <c r="P53" s="1">
        <v>0</v>
      </c>
      <c r="Q53" s="11">
        <v>42323</v>
      </c>
    </row>
    <row r="54" spans="1:17" x14ac:dyDescent="0.25">
      <c r="A54" s="8" t="str">
        <f t="shared" si="0"/>
        <v>042</v>
      </c>
      <c r="B54" s="1" t="str">
        <f t="shared" si="1"/>
        <v>SANTA MONICA-MALIBU UNIFIED SCHOOL DISTRICT</v>
      </c>
      <c r="C54" s="1" t="str">
        <f t="shared" si="14"/>
        <v>003</v>
      </c>
      <c r="D54" s="1" t="str">
        <f t="shared" si="15"/>
        <v>FRANKLIN ELEMENTARY SCHOOL</v>
      </c>
      <c r="E54" s="1" t="str">
        <f>"901"</f>
        <v>901</v>
      </c>
      <c r="F54" s="1" t="str">
        <f>"PORTABLE CLASSROOM RM 23"</f>
        <v>PORTABLE CLASSROOM RM 23</v>
      </c>
      <c r="G54" s="1" t="str">
        <f t="shared" si="16"/>
        <v>2400 MONTANA AVENUE</v>
      </c>
      <c r="H54" s="1" t="str">
        <f t="shared" si="13"/>
        <v>SANTA MONICA</v>
      </c>
      <c r="I54" s="1" t="str">
        <f t="shared" si="6"/>
        <v>CA</v>
      </c>
      <c r="J54" s="1" t="str">
        <f t="shared" si="17"/>
        <v>90403</v>
      </c>
      <c r="K54" s="1">
        <v>1970</v>
      </c>
      <c r="L54" s="1">
        <v>960</v>
      </c>
      <c r="M54" s="1">
        <v>96000</v>
      </c>
      <c r="N54" s="1">
        <v>21000</v>
      </c>
      <c r="O54" s="1">
        <f t="shared" si="8"/>
        <v>117000</v>
      </c>
      <c r="P54" s="1">
        <v>0</v>
      </c>
      <c r="Q54" s="11">
        <v>42325</v>
      </c>
    </row>
    <row r="55" spans="1:17" x14ac:dyDescent="0.25">
      <c r="A55" s="8" t="str">
        <f t="shared" si="0"/>
        <v>042</v>
      </c>
      <c r="B55" s="1" t="str">
        <f t="shared" si="1"/>
        <v>SANTA MONICA-MALIBU UNIFIED SCHOOL DISTRICT</v>
      </c>
      <c r="C55" s="1" t="str">
        <f t="shared" si="14"/>
        <v>003</v>
      </c>
      <c r="D55" s="1" t="str">
        <f t="shared" si="15"/>
        <v>FRANKLIN ELEMENTARY SCHOOL</v>
      </c>
      <c r="E55" s="1" t="str">
        <f>"902"</f>
        <v>902</v>
      </c>
      <c r="F55" s="1" t="str">
        <f>"PORTABLE CLASSROOM RM 24A"</f>
        <v>PORTABLE CLASSROOM RM 24A</v>
      </c>
      <c r="G55" s="1" t="str">
        <f t="shared" si="16"/>
        <v>2400 MONTANA AVENUE</v>
      </c>
      <c r="H55" s="1" t="str">
        <f t="shared" si="13"/>
        <v>SANTA MONICA</v>
      </c>
      <c r="I55" s="1" t="str">
        <f t="shared" si="6"/>
        <v>CA</v>
      </c>
      <c r="J55" s="1" t="str">
        <f t="shared" si="17"/>
        <v>90403</v>
      </c>
      <c r="K55" s="1">
        <v>1970</v>
      </c>
      <c r="L55" s="1">
        <v>960</v>
      </c>
      <c r="M55" s="1">
        <v>96000</v>
      </c>
      <c r="N55" s="1">
        <v>21000</v>
      </c>
      <c r="O55" s="1">
        <f t="shared" si="8"/>
        <v>117000</v>
      </c>
      <c r="P55" s="1">
        <v>0</v>
      </c>
      <c r="Q55" s="11">
        <v>42325</v>
      </c>
    </row>
    <row r="56" spans="1:17" x14ac:dyDescent="0.25">
      <c r="A56" s="8" t="str">
        <f t="shared" si="0"/>
        <v>042</v>
      </c>
      <c r="B56" s="1" t="str">
        <f t="shared" si="1"/>
        <v>SANTA MONICA-MALIBU UNIFIED SCHOOL DISTRICT</v>
      </c>
      <c r="C56" s="1" t="str">
        <f t="shared" si="14"/>
        <v>003</v>
      </c>
      <c r="D56" s="1" t="str">
        <f t="shared" si="15"/>
        <v>FRANKLIN ELEMENTARY SCHOOL</v>
      </c>
      <c r="E56" s="1" t="str">
        <f>"903"</f>
        <v>903</v>
      </c>
      <c r="F56" s="1" t="str">
        <f>"PORTABLE CLASSROOM RM 24B"</f>
        <v>PORTABLE CLASSROOM RM 24B</v>
      </c>
      <c r="G56" s="1" t="str">
        <f t="shared" si="16"/>
        <v>2400 MONTANA AVENUE</v>
      </c>
      <c r="H56" s="1" t="str">
        <f t="shared" si="13"/>
        <v>SANTA MONICA</v>
      </c>
      <c r="I56" s="1" t="str">
        <f t="shared" si="6"/>
        <v>CA</v>
      </c>
      <c r="J56" s="1" t="str">
        <f t="shared" si="17"/>
        <v>90403</v>
      </c>
      <c r="K56" s="1">
        <v>1970</v>
      </c>
      <c r="L56" s="1">
        <v>960</v>
      </c>
      <c r="M56" s="1">
        <v>96000</v>
      </c>
      <c r="N56" s="1">
        <v>21000</v>
      </c>
      <c r="O56" s="1">
        <f t="shared" si="8"/>
        <v>117000</v>
      </c>
      <c r="P56" s="1">
        <v>0</v>
      </c>
      <c r="Q56" s="11">
        <v>42325</v>
      </c>
    </row>
    <row r="57" spans="1:17" x14ac:dyDescent="0.25">
      <c r="A57" s="8" t="str">
        <f t="shared" si="0"/>
        <v>042</v>
      </c>
      <c r="B57" s="1" t="str">
        <f t="shared" si="1"/>
        <v>SANTA MONICA-MALIBU UNIFIED SCHOOL DISTRICT</v>
      </c>
      <c r="C57" s="1" t="str">
        <f t="shared" si="14"/>
        <v>003</v>
      </c>
      <c r="D57" s="1" t="str">
        <f t="shared" si="15"/>
        <v>FRANKLIN ELEMENTARY SCHOOL</v>
      </c>
      <c r="E57" s="1" t="str">
        <f>"904"</f>
        <v>904</v>
      </c>
      <c r="F57" s="1" t="str">
        <f>"PORTABLE CLASSROOM RM 25"</f>
        <v>PORTABLE CLASSROOM RM 25</v>
      </c>
      <c r="G57" s="1" t="str">
        <f t="shared" si="16"/>
        <v>2400 MONTANA AVENUE</v>
      </c>
      <c r="H57" s="1" t="str">
        <f t="shared" si="13"/>
        <v>SANTA MONICA</v>
      </c>
      <c r="I57" s="1" t="str">
        <f t="shared" si="6"/>
        <v>CA</v>
      </c>
      <c r="J57" s="1" t="str">
        <f t="shared" si="17"/>
        <v>90403</v>
      </c>
      <c r="K57" s="1">
        <v>1992</v>
      </c>
      <c r="L57" s="1">
        <v>960</v>
      </c>
      <c r="M57" s="1">
        <v>96000</v>
      </c>
      <c r="N57" s="1">
        <v>21000</v>
      </c>
      <c r="O57" s="1">
        <f t="shared" si="8"/>
        <v>117000</v>
      </c>
      <c r="P57" s="1">
        <v>0</v>
      </c>
      <c r="Q57" s="11">
        <v>42325</v>
      </c>
    </row>
    <row r="58" spans="1:17" x14ac:dyDescent="0.25">
      <c r="A58" s="8" t="str">
        <f t="shared" si="0"/>
        <v>042</v>
      </c>
      <c r="B58" s="1" t="str">
        <f t="shared" si="1"/>
        <v>SANTA MONICA-MALIBU UNIFIED SCHOOL DISTRICT</v>
      </c>
      <c r="C58" s="1" t="str">
        <f t="shared" si="14"/>
        <v>003</v>
      </c>
      <c r="D58" s="1" t="str">
        <f t="shared" si="15"/>
        <v>FRANKLIN ELEMENTARY SCHOOL</v>
      </c>
      <c r="E58" s="1" t="str">
        <f>"905"</f>
        <v>905</v>
      </c>
      <c r="F58" s="1" t="str">
        <f>"PORTABLE CLASSROOM RM 26"</f>
        <v>PORTABLE CLASSROOM RM 26</v>
      </c>
      <c r="G58" s="1" t="str">
        <f t="shared" si="16"/>
        <v>2400 MONTANA AVENUE</v>
      </c>
      <c r="H58" s="1" t="str">
        <f t="shared" si="13"/>
        <v>SANTA MONICA</v>
      </c>
      <c r="I58" s="1" t="str">
        <f t="shared" si="6"/>
        <v>CA</v>
      </c>
      <c r="J58" s="1" t="str">
        <f t="shared" si="17"/>
        <v>90403</v>
      </c>
      <c r="K58" s="1">
        <v>1992</v>
      </c>
      <c r="L58" s="1">
        <v>960</v>
      </c>
      <c r="M58" s="1">
        <v>96000</v>
      </c>
      <c r="N58" s="1">
        <v>21000</v>
      </c>
      <c r="O58" s="1">
        <f t="shared" si="8"/>
        <v>117000</v>
      </c>
      <c r="P58" s="1">
        <v>0</v>
      </c>
      <c r="Q58" s="11">
        <v>42325</v>
      </c>
    </row>
    <row r="59" spans="1:17" x14ac:dyDescent="0.25">
      <c r="A59" s="8" t="str">
        <f t="shared" si="0"/>
        <v>042</v>
      </c>
      <c r="B59" s="1" t="str">
        <f t="shared" si="1"/>
        <v>SANTA MONICA-MALIBU UNIFIED SCHOOL DISTRICT</v>
      </c>
      <c r="C59" s="1" t="str">
        <f t="shared" si="14"/>
        <v>003</v>
      </c>
      <c r="D59" s="1" t="str">
        <f t="shared" si="15"/>
        <v>FRANKLIN ELEMENTARY SCHOOL</v>
      </c>
      <c r="E59" s="1" t="str">
        <f>"906"</f>
        <v>906</v>
      </c>
      <c r="F59" s="1" t="str">
        <f>"PORTABLE CLASSROOM RM 27"</f>
        <v>PORTABLE CLASSROOM RM 27</v>
      </c>
      <c r="G59" s="1" t="str">
        <f t="shared" si="16"/>
        <v>2400 MONTANA AVENUE</v>
      </c>
      <c r="H59" s="1" t="str">
        <f t="shared" si="13"/>
        <v>SANTA MONICA</v>
      </c>
      <c r="I59" s="1" t="str">
        <f t="shared" si="6"/>
        <v>CA</v>
      </c>
      <c r="J59" s="1" t="str">
        <f t="shared" si="17"/>
        <v>90403</v>
      </c>
      <c r="K59" s="1">
        <v>1992</v>
      </c>
      <c r="L59" s="1">
        <v>960</v>
      </c>
      <c r="M59" s="1">
        <v>96000</v>
      </c>
      <c r="N59" s="1">
        <v>21000</v>
      </c>
      <c r="O59" s="1">
        <f t="shared" si="8"/>
        <v>117000</v>
      </c>
      <c r="P59" s="1">
        <v>0</v>
      </c>
      <c r="Q59" s="11">
        <v>42325</v>
      </c>
    </row>
    <row r="60" spans="1:17" x14ac:dyDescent="0.25">
      <c r="A60" s="8" t="str">
        <f t="shared" si="0"/>
        <v>042</v>
      </c>
      <c r="B60" s="1" t="str">
        <f t="shared" si="1"/>
        <v>SANTA MONICA-MALIBU UNIFIED SCHOOL DISTRICT</v>
      </c>
      <c r="C60" s="1" t="str">
        <f t="shared" si="14"/>
        <v>003</v>
      </c>
      <c r="D60" s="1" t="str">
        <f t="shared" si="15"/>
        <v>FRANKLIN ELEMENTARY SCHOOL</v>
      </c>
      <c r="E60" s="1" t="str">
        <f>"907"</f>
        <v>907</v>
      </c>
      <c r="F60" s="1" t="str">
        <f>"PORTABLE CLASSROOM RM 28"</f>
        <v>PORTABLE CLASSROOM RM 28</v>
      </c>
      <c r="G60" s="1" t="str">
        <f t="shared" si="16"/>
        <v>2400 MONTANA AVENUE</v>
      </c>
      <c r="H60" s="1" t="str">
        <f t="shared" si="13"/>
        <v>SANTA MONICA</v>
      </c>
      <c r="I60" s="1" t="str">
        <f t="shared" si="6"/>
        <v>CA</v>
      </c>
      <c r="J60" s="1" t="str">
        <f t="shared" si="17"/>
        <v>90403</v>
      </c>
      <c r="K60" s="1">
        <v>1992</v>
      </c>
      <c r="L60" s="1">
        <v>960</v>
      </c>
      <c r="M60" s="1">
        <v>96000</v>
      </c>
      <c r="N60" s="1">
        <v>21000</v>
      </c>
      <c r="O60" s="1">
        <f t="shared" si="8"/>
        <v>117000</v>
      </c>
      <c r="P60" s="1">
        <v>0</v>
      </c>
      <c r="Q60" s="11">
        <v>42325</v>
      </c>
    </row>
    <row r="61" spans="1:17" x14ac:dyDescent="0.25">
      <c r="A61" s="8" t="str">
        <f t="shared" si="0"/>
        <v>042</v>
      </c>
      <c r="B61" s="1" t="str">
        <f t="shared" si="1"/>
        <v>SANTA MONICA-MALIBU UNIFIED SCHOOL DISTRICT</v>
      </c>
      <c r="C61" s="1" t="str">
        <f t="shared" si="14"/>
        <v>003</v>
      </c>
      <c r="D61" s="1" t="str">
        <f t="shared" si="15"/>
        <v>FRANKLIN ELEMENTARY SCHOOL</v>
      </c>
      <c r="E61" s="1" t="str">
        <f>"908"</f>
        <v>908</v>
      </c>
      <c r="F61" s="1" t="str">
        <f>"PORTABLE CLASSROOM RM 39"</f>
        <v>PORTABLE CLASSROOM RM 39</v>
      </c>
      <c r="G61" s="1" t="str">
        <f t="shared" si="16"/>
        <v>2400 MONTANA AVENUE</v>
      </c>
      <c r="H61" s="1" t="str">
        <f t="shared" si="13"/>
        <v>SANTA MONICA</v>
      </c>
      <c r="I61" s="1" t="str">
        <f t="shared" si="6"/>
        <v>CA</v>
      </c>
      <c r="J61" s="1" t="str">
        <f t="shared" si="17"/>
        <v>90403</v>
      </c>
      <c r="K61" s="1">
        <v>1997</v>
      </c>
      <c r="L61" s="1">
        <v>960</v>
      </c>
      <c r="M61" s="1">
        <v>96000</v>
      </c>
      <c r="N61" s="1">
        <v>21000</v>
      </c>
      <c r="O61" s="1">
        <f t="shared" si="8"/>
        <v>117000</v>
      </c>
      <c r="P61" s="1">
        <v>0</v>
      </c>
      <c r="Q61" s="11">
        <v>42325</v>
      </c>
    </row>
    <row r="62" spans="1:17" x14ac:dyDescent="0.25">
      <c r="A62" s="8" t="str">
        <f t="shared" si="0"/>
        <v>042</v>
      </c>
      <c r="B62" s="1" t="str">
        <f t="shared" si="1"/>
        <v>SANTA MONICA-MALIBU UNIFIED SCHOOL DISTRICT</v>
      </c>
      <c r="C62" s="1" t="str">
        <f t="shared" si="14"/>
        <v>003</v>
      </c>
      <c r="D62" s="1" t="str">
        <f t="shared" si="15"/>
        <v>FRANKLIN ELEMENTARY SCHOOL</v>
      </c>
      <c r="E62" s="1" t="str">
        <f>"909"</f>
        <v>909</v>
      </c>
      <c r="F62" s="1" t="str">
        <f>"PORTABLE CLASSROOM RM 40"</f>
        <v>PORTABLE CLASSROOM RM 40</v>
      </c>
      <c r="G62" s="1" t="str">
        <f t="shared" si="16"/>
        <v>2400 MONTANA AVENUE</v>
      </c>
      <c r="H62" s="1" t="str">
        <f t="shared" si="13"/>
        <v>SANTA MONICA</v>
      </c>
      <c r="I62" s="1" t="str">
        <f t="shared" si="6"/>
        <v>CA</v>
      </c>
      <c r="J62" s="1" t="str">
        <f t="shared" si="17"/>
        <v>90403</v>
      </c>
      <c r="K62" s="1">
        <v>1997</v>
      </c>
      <c r="L62" s="1">
        <v>960</v>
      </c>
      <c r="M62" s="1">
        <v>96000</v>
      </c>
      <c r="N62" s="1">
        <v>21000</v>
      </c>
      <c r="O62" s="1">
        <f t="shared" si="8"/>
        <v>117000</v>
      </c>
      <c r="P62" s="1">
        <v>0</v>
      </c>
      <c r="Q62" s="11">
        <v>42325</v>
      </c>
    </row>
    <row r="63" spans="1:17" x14ac:dyDescent="0.25">
      <c r="A63" s="8" t="str">
        <f t="shared" si="0"/>
        <v>042</v>
      </c>
      <c r="B63" s="1" t="str">
        <f t="shared" si="1"/>
        <v>SANTA MONICA-MALIBU UNIFIED SCHOOL DISTRICT</v>
      </c>
      <c r="C63" s="1" t="str">
        <f t="shared" si="14"/>
        <v>003</v>
      </c>
      <c r="D63" s="1" t="str">
        <f t="shared" si="15"/>
        <v>FRANKLIN ELEMENTARY SCHOOL</v>
      </c>
      <c r="E63" s="1" t="str">
        <f>"910"</f>
        <v>910</v>
      </c>
      <c r="F63" s="1" t="str">
        <f>"PORTABLE CLASSROOM RM 41"</f>
        <v>PORTABLE CLASSROOM RM 41</v>
      </c>
      <c r="G63" s="1" t="str">
        <f t="shared" si="16"/>
        <v>2400 MONTANA AVENUE</v>
      </c>
      <c r="H63" s="1" t="str">
        <f t="shared" si="13"/>
        <v>SANTA MONICA</v>
      </c>
      <c r="I63" s="1" t="str">
        <f t="shared" si="6"/>
        <v>CA</v>
      </c>
      <c r="J63" s="1" t="str">
        <f t="shared" si="17"/>
        <v>90403</v>
      </c>
      <c r="K63" s="1">
        <v>1997</v>
      </c>
      <c r="L63" s="1">
        <v>960</v>
      </c>
      <c r="M63" s="1">
        <v>96000</v>
      </c>
      <c r="N63" s="1">
        <v>21000</v>
      </c>
      <c r="O63" s="1">
        <f t="shared" si="8"/>
        <v>117000</v>
      </c>
      <c r="P63" s="1">
        <v>0</v>
      </c>
      <c r="Q63" s="11">
        <v>42325</v>
      </c>
    </row>
    <row r="64" spans="1:17" x14ac:dyDescent="0.25">
      <c r="A64" s="8" t="str">
        <f t="shared" si="0"/>
        <v>042</v>
      </c>
      <c r="B64" s="1" t="str">
        <f t="shared" si="1"/>
        <v>SANTA MONICA-MALIBU UNIFIED SCHOOL DISTRICT</v>
      </c>
      <c r="C64" s="1" t="str">
        <f t="shared" si="14"/>
        <v>003</v>
      </c>
      <c r="D64" s="1" t="str">
        <f t="shared" si="15"/>
        <v>FRANKLIN ELEMENTARY SCHOOL</v>
      </c>
      <c r="E64" s="1" t="str">
        <f>"911"</f>
        <v>911</v>
      </c>
      <c r="F64" s="1" t="str">
        <f>"PORTABLE CLASSROOM RM 42"</f>
        <v>PORTABLE CLASSROOM RM 42</v>
      </c>
      <c r="G64" s="1" t="str">
        <f t="shared" si="16"/>
        <v>2400 MONTANA AVENUE</v>
      </c>
      <c r="H64" s="1" t="str">
        <f t="shared" si="13"/>
        <v>SANTA MONICA</v>
      </c>
      <c r="I64" s="1" t="str">
        <f t="shared" si="6"/>
        <v>CA</v>
      </c>
      <c r="J64" s="1" t="str">
        <f t="shared" si="17"/>
        <v>90403</v>
      </c>
      <c r="K64" s="1">
        <v>1997</v>
      </c>
      <c r="L64" s="1">
        <v>1920</v>
      </c>
      <c r="M64" s="1">
        <v>192000</v>
      </c>
      <c r="N64" s="1">
        <v>42000</v>
      </c>
      <c r="O64" s="1">
        <f t="shared" si="8"/>
        <v>234000</v>
      </c>
      <c r="P64" s="1">
        <v>0</v>
      </c>
      <c r="Q64" s="11">
        <v>42325</v>
      </c>
    </row>
    <row r="65" spans="1:17" x14ac:dyDescent="0.25">
      <c r="A65" s="8" t="str">
        <f t="shared" si="0"/>
        <v>042</v>
      </c>
      <c r="B65" s="1" t="str">
        <f t="shared" si="1"/>
        <v>SANTA MONICA-MALIBU UNIFIED SCHOOL DISTRICT</v>
      </c>
      <c r="C65" s="1" t="str">
        <f t="shared" si="14"/>
        <v>003</v>
      </c>
      <c r="D65" s="1" t="str">
        <f t="shared" si="15"/>
        <v>FRANKLIN ELEMENTARY SCHOOL</v>
      </c>
      <c r="E65" s="1" t="str">
        <f>"099"</f>
        <v>099</v>
      </c>
      <c r="F65" s="1" t="str">
        <f>"COVERED PASSAGES"</f>
        <v>COVERED PASSAGES</v>
      </c>
      <c r="G65" s="1" t="str">
        <f t="shared" si="16"/>
        <v>2400 MONTANA AVENUE</v>
      </c>
      <c r="H65" s="1" t="str">
        <f t="shared" si="13"/>
        <v>SANTA MONICA</v>
      </c>
      <c r="I65" s="1" t="str">
        <f t="shared" si="6"/>
        <v>CA</v>
      </c>
      <c r="J65" s="1" t="str">
        <f t="shared" si="17"/>
        <v>90403</v>
      </c>
      <c r="K65" s="1">
        <v>1943</v>
      </c>
      <c r="L65" s="1">
        <v>6750</v>
      </c>
      <c r="M65" s="1">
        <v>194000</v>
      </c>
      <c r="N65" s="1">
        <v>0</v>
      </c>
      <c r="O65" s="1">
        <f t="shared" si="8"/>
        <v>194000</v>
      </c>
      <c r="P65" s="1">
        <v>0</v>
      </c>
      <c r="Q65" s="11">
        <v>42325</v>
      </c>
    </row>
    <row r="66" spans="1:17" x14ac:dyDescent="0.25">
      <c r="A66" s="8" t="str">
        <f t="shared" ref="A66:A129" si="18">"042"</f>
        <v>042</v>
      </c>
      <c r="B66" s="1" t="str">
        <f t="shared" ref="B66:B129" si="19">"SANTA MONICA-MALIBU UNIFIED SCHOOL DISTRICT"</f>
        <v>SANTA MONICA-MALIBU UNIFIED SCHOOL DISTRICT</v>
      </c>
      <c r="C66" s="1" t="str">
        <f t="shared" ref="C66:C89" si="20">"007"</f>
        <v>007</v>
      </c>
      <c r="D66" s="1" t="str">
        <f t="shared" ref="D66:D89" si="21">"WILL ROGERS ELEMENTARY SCHOOL"</f>
        <v>WILL ROGERS ELEMENTARY SCHOOL</v>
      </c>
      <c r="E66" s="1" t="str">
        <f>"001"</f>
        <v>001</v>
      </c>
      <c r="F66" s="1" t="str">
        <f>"ADMINISTRATION BUILDING"</f>
        <v>ADMINISTRATION BUILDING</v>
      </c>
      <c r="G66" s="1" t="str">
        <f t="shared" ref="G66:G89" si="22">"2401 14TH STREET"</f>
        <v>2401 14TH STREET</v>
      </c>
      <c r="H66" s="1" t="str">
        <f t="shared" ref="H66:H97" si="23">"SANTA MONICA"</f>
        <v>SANTA MONICA</v>
      </c>
      <c r="I66" s="1" t="str">
        <f t="shared" ref="I66:I129" si="24">"CA"</f>
        <v>CA</v>
      </c>
      <c r="J66" s="1" t="str">
        <f t="shared" ref="J66:J89" si="25">"90405"</f>
        <v>90405</v>
      </c>
      <c r="K66" s="1">
        <v>1948</v>
      </c>
      <c r="L66" s="1">
        <v>3912</v>
      </c>
      <c r="M66" s="1">
        <v>924000</v>
      </c>
      <c r="N66" s="1">
        <v>129000</v>
      </c>
      <c r="O66" s="1">
        <f t="shared" ref="O66:O129" si="26">M66+N66</f>
        <v>1053000</v>
      </c>
      <c r="P66" s="1">
        <v>0</v>
      </c>
      <c r="Q66" s="11">
        <v>42326</v>
      </c>
    </row>
    <row r="67" spans="1:17" x14ac:dyDescent="0.25">
      <c r="A67" s="8" t="str">
        <f t="shared" si="18"/>
        <v>042</v>
      </c>
      <c r="B67" s="1" t="str">
        <f t="shared" si="19"/>
        <v>SANTA MONICA-MALIBU UNIFIED SCHOOL DISTRICT</v>
      </c>
      <c r="C67" s="1" t="str">
        <f t="shared" si="20"/>
        <v>007</v>
      </c>
      <c r="D67" s="1" t="str">
        <f t="shared" si="21"/>
        <v>WILL ROGERS ELEMENTARY SCHOOL</v>
      </c>
      <c r="E67" s="1" t="str">
        <f>"004"</f>
        <v>004</v>
      </c>
      <c r="F67" s="1" t="str">
        <f>"CLASSROOM BUILDING WING 100"</f>
        <v>CLASSROOM BUILDING WING 100</v>
      </c>
      <c r="G67" s="1" t="str">
        <f t="shared" si="22"/>
        <v>2401 14TH STREET</v>
      </c>
      <c r="H67" s="1" t="str">
        <f t="shared" si="23"/>
        <v>SANTA MONICA</v>
      </c>
      <c r="I67" s="1" t="str">
        <f t="shared" si="24"/>
        <v>CA</v>
      </c>
      <c r="J67" s="1" t="str">
        <f t="shared" si="25"/>
        <v>90405</v>
      </c>
      <c r="K67" s="1">
        <v>1948</v>
      </c>
      <c r="L67" s="1">
        <v>5504</v>
      </c>
      <c r="M67" s="1">
        <v>1474000</v>
      </c>
      <c r="N67" s="1">
        <v>167000</v>
      </c>
      <c r="O67" s="1">
        <f t="shared" si="26"/>
        <v>1641000</v>
      </c>
      <c r="P67" s="1">
        <v>0</v>
      </c>
      <c r="Q67" s="11">
        <v>42326</v>
      </c>
    </row>
    <row r="68" spans="1:17" x14ac:dyDescent="0.25">
      <c r="A68" s="8" t="str">
        <f t="shared" si="18"/>
        <v>042</v>
      </c>
      <c r="B68" s="1" t="str">
        <f t="shared" si="19"/>
        <v>SANTA MONICA-MALIBU UNIFIED SCHOOL DISTRICT</v>
      </c>
      <c r="C68" s="1" t="str">
        <f t="shared" si="20"/>
        <v>007</v>
      </c>
      <c r="D68" s="1" t="str">
        <f t="shared" si="21"/>
        <v>WILL ROGERS ELEMENTARY SCHOOL</v>
      </c>
      <c r="E68" s="1" t="str">
        <f>"006"</f>
        <v>006</v>
      </c>
      <c r="F68" s="1" t="str">
        <f>"CLASSROOM BUILDING WING 200"</f>
        <v>CLASSROOM BUILDING WING 200</v>
      </c>
      <c r="G68" s="1" t="str">
        <f t="shared" si="22"/>
        <v>2401 14TH STREET</v>
      </c>
      <c r="H68" s="1" t="str">
        <f t="shared" si="23"/>
        <v>SANTA MONICA</v>
      </c>
      <c r="I68" s="1" t="str">
        <f t="shared" si="24"/>
        <v>CA</v>
      </c>
      <c r="J68" s="1" t="str">
        <f t="shared" si="25"/>
        <v>90405</v>
      </c>
      <c r="K68" s="1">
        <v>1948</v>
      </c>
      <c r="L68" s="1">
        <v>5504</v>
      </c>
      <c r="M68" s="1">
        <v>1674000</v>
      </c>
      <c r="N68" s="1">
        <v>167000</v>
      </c>
      <c r="O68" s="1">
        <f t="shared" si="26"/>
        <v>1841000</v>
      </c>
      <c r="P68" s="1">
        <v>0</v>
      </c>
      <c r="Q68" s="11">
        <v>42326</v>
      </c>
    </row>
    <row r="69" spans="1:17" x14ac:dyDescent="0.25">
      <c r="A69" s="8" t="str">
        <f t="shared" si="18"/>
        <v>042</v>
      </c>
      <c r="B69" s="1" t="str">
        <f t="shared" si="19"/>
        <v>SANTA MONICA-MALIBU UNIFIED SCHOOL DISTRICT</v>
      </c>
      <c r="C69" s="1" t="str">
        <f t="shared" si="20"/>
        <v>007</v>
      </c>
      <c r="D69" s="1" t="str">
        <f t="shared" si="21"/>
        <v>WILL ROGERS ELEMENTARY SCHOOL</v>
      </c>
      <c r="E69" s="1" t="str">
        <f>"008"</f>
        <v>008</v>
      </c>
      <c r="F69" s="1" t="str">
        <f>"CLASSROOM BUILDING WING 300"</f>
        <v>CLASSROOM BUILDING WING 300</v>
      </c>
      <c r="G69" s="1" t="str">
        <f t="shared" si="22"/>
        <v>2401 14TH STREET</v>
      </c>
      <c r="H69" s="1" t="str">
        <f t="shared" si="23"/>
        <v>SANTA MONICA</v>
      </c>
      <c r="I69" s="1" t="str">
        <f t="shared" si="24"/>
        <v>CA</v>
      </c>
      <c r="J69" s="1" t="str">
        <f t="shared" si="25"/>
        <v>90405</v>
      </c>
      <c r="K69" s="1">
        <v>1948</v>
      </c>
      <c r="L69" s="1">
        <v>5504</v>
      </c>
      <c r="M69" s="1">
        <v>1691000</v>
      </c>
      <c r="N69" s="1">
        <v>169000</v>
      </c>
      <c r="O69" s="1">
        <f t="shared" si="26"/>
        <v>1860000</v>
      </c>
      <c r="P69" s="1">
        <v>84</v>
      </c>
      <c r="Q69" s="11">
        <v>42326</v>
      </c>
    </row>
    <row r="70" spans="1:17" x14ac:dyDescent="0.25">
      <c r="A70" s="8" t="str">
        <f t="shared" si="18"/>
        <v>042</v>
      </c>
      <c r="B70" s="1" t="str">
        <f t="shared" si="19"/>
        <v>SANTA MONICA-MALIBU UNIFIED SCHOOL DISTRICT</v>
      </c>
      <c r="C70" s="1" t="str">
        <f t="shared" si="20"/>
        <v>007</v>
      </c>
      <c r="D70" s="1" t="str">
        <f t="shared" si="21"/>
        <v>WILL ROGERS ELEMENTARY SCHOOL</v>
      </c>
      <c r="E70" s="1" t="str">
        <f>"010"</f>
        <v>010</v>
      </c>
      <c r="F70" s="1" t="str">
        <f>"CLASSROOM BUILDING WING 400"</f>
        <v>CLASSROOM BUILDING WING 400</v>
      </c>
      <c r="G70" s="1" t="str">
        <f t="shared" si="22"/>
        <v>2401 14TH STREET</v>
      </c>
      <c r="H70" s="1" t="str">
        <f t="shared" si="23"/>
        <v>SANTA MONICA</v>
      </c>
      <c r="I70" s="1" t="str">
        <f t="shared" si="24"/>
        <v>CA</v>
      </c>
      <c r="J70" s="1" t="str">
        <f t="shared" si="25"/>
        <v>90405</v>
      </c>
      <c r="K70" s="1">
        <v>1948</v>
      </c>
      <c r="L70" s="1">
        <v>5504</v>
      </c>
      <c r="M70" s="1">
        <v>1674000</v>
      </c>
      <c r="N70" s="1">
        <v>167000</v>
      </c>
      <c r="O70" s="1">
        <f t="shared" si="26"/>
        <v>1841000</v>
      </c>
      <c r="P70" s="1">
        <v>0</v>
      </c>
      <c r="Q70" s="11">
        <v>42326</v>
      </c>
    </row>
    <row r="71" spans="1:17" x14ac:dyDescent="0.25">
      <c r="A71" s="8" t="str">
        <f t="shared" si="18"/>
        <v>042</v>
      </c>
      <c r="B71" s="1" t="str">
        <f t="shared" si="19"/>
        <v>SANTA MONICA-MALIBU UNIFIED SCHOOL DISTRICT</v>
      </c>
      <c r="C71" s="1" t="str">
        <f t="shared" si="20"/>
        <v>007</v>
      </c>
      <c r="D71" s="1" t="str">
        <f t="shared" si="21"/>
        <v>WILL ROGERS ELEMENTARY SCHOOL</v>
      </c>
      <c r="E71" s="1" t="str">
        <f>"012"</f>
        <v>012</v>
      </c>
      <c r="F71" s="1" t="str">
        <f>"CLASSROOM BUILDING WING 500"</f>
        <v>CLASSROOM BUILDING WING 500</v>
      </c>
      <c r="G71" s="1" t="str">
        <f t="shared" si="22"/>
        <v>2401 14TH STREET</v>
      </c>
      <c r="H71" s="1" t="str">
        <f t="shared" si="23"/>
        <v>SANTA MONICA</v>
      </c>
      <c r="I71" s="1" t="str">
        <f t="shared" si="24"/>
        <v>CA</v>
      </c>
      <c r="J71" s="1" t="str">
        <f t="shared" si="25"/>
        <v>90405</v>
      </c>
      <c r="K71" s="1">
        <v>1948</v>
      </c>
      <c r="L71" s="1">
        <v>5504</v>
      </c>
      <c r="M71" s="1">
        <v>1674000</v>
      </c>
      <c r="N71" s="1">
        <v>167000</v>
      </c>
      <c r="O71" s="1">
        <f t="shared" si="26"/>
        <v>1841000</v>
      </c>
      <c r="P71" s="1">
        <v>0</v>
      </c>
      <c r="Q71" s="11">
        <v>42326</v>
      </c>
    </row>
    <row r="72" spans="1:17" x14ac:dyDescent="0.25">
      <c r="A72" s="8" t="str">
        <f t="shared" si="18"/>
        <v>042</v>
      </c>
      <c r="B72" s="1" t="str">
        <f t="shared" si="19"/>
        <v>SANTA MONICA-MALIBU UNIFIED SCHOOL DISTRICT</v>
      </c>
      <c r="C72" s="1" t="str">
        <f t="shared" si="20"/>
        <v>007</v>
      </c>
      <c r="D72" s="1" t="str">
        <f t="shared" si="21"/>
        <v>WILL ROGERS ELEMENTARY SCHOOL</v>
      </c>
      <c r="E72" s="1" t="str">
        <f>"003"</f>
        <v>003</v>
      </c>
      <c r="F72" s="1" t="str">
        <f>"CLASSROOM BUILDING RM 2"</f>
        <v>CLASSROOM BUILDING RM 2</v>
      </c>
      <c r="G72" s="1" t="str">
        <f t="shared" si="22"/>
        <v>2401 14TH STREET</v>
      </c>
      <c r="H72" s="1" t="str">
        <f t="shared" si="23"/>
        <v>SANTA MONICA</v>
      </c>
      <c r="I72" s="1" t="str">
        <f t="shared" si="24"/>
        <v>CA</v>
      </c>
      <c r="J72" s="1" t="str">
        <f t="shared" si="25"/>
        <v>90405</v>
      </c>
      <c r="K72" s="1">
        <v>1948</v>
      </c>
      <c r="L72" s="1">
        <v>1674</v>
      </c>
      <c r="M72" s="1">
        <v>456000</v>
      </c>
      <c r="N72" s="1">
        <v>51000</v>
      </c>
      <c r="O72" s="1">
        <f t="shared" si="26"/>
        <v>507000</v>
      </c>
      <c r="P72" s="1">
        <v>0</v>
      </c>
      <c r="Q72" s="11">
        <v>42326</v>
      </c>
    </row>
    <row r="73" spans="1:17" x14ac:dyDescent="0.25">
      <c r="A73" s="8" t="str">
        <f t="shared" si="18"/>
        <v>042</v>
      </c>
      <c r="B73" s="1" t="str">
        <f t="shared" si="19"/>
        <v>SANTA MONICA-MALIBU UNIFIED SCHOOL DISTRICT</v>
      </c>
      <c r="C73" s="1" t="str">
        <f t="shared" si="20"/>
        <v>007</v>
      </c>
      <c r="D73" s="1" t="str">
        <f t="shared" si="21"/>
        <v>WILL ROGERS ELEMENTARY SCHOOL</v>
      </c>
      <c r="E73" s="1" t="str">
        <f>"005"</f>
        <v>005</v>
      </c>
      <c r="F73" s="1" t="str">
        <f>"CLASSROOM BUILDING RM 106"</f>
        <v>CLASSROOM BUILDING RM 106</v>
      </c>
      <c r="G73" s="1" t="str">
        <f t="shared" si="22"/>
        <v>2401 14TH STREET</v>
      </c>
      <c r="H73" s="1" t="str">
        <f t="shared" si="23"/>
        <v>SANTA MONICA</v>
      </c>
      <c r="I73" s="1" t="str">
        <f t="shared" si="24"/>
        <v>CA</v>
      </c>
      <c r="J73" s="1" t="str">
        <f t="shared" si="25"/>
        <v>90405</v>
      </c>
      <c r="K73" s="1">
        <v>1950</v>
      </c>
      <c r="L73" s="1">
        <v>960</v>
      </c>
      <c r="M73" s="1">
        <v>262000</v>
      </c>
      <c r="N73" s="1">
        <v>29000</v>
      </c>
      <c r="O73" s="1">
        <f t="shared" si="26"/>
        <v>291000</v>
      </c>
      <c r="P73" s="1">
        <v>0</v>
      </c>
      <c r="Q73" s="11">
        <v>42326</v>
      </c>
    </row>
    <row r="74" spans="1:17" x14ac:dyDescent="0.25">
      <c r="A74" s="8" t="str">
        <f t="shared" si="18"/>
        <v>042</v>
      </c>
      <c r="B74" s="1" t="str">
        <f t="shared" si="19"/>
        <v>SANTA MONICA-MALIBU UNIFIED SCHOOL DISTRICT</v>
      </c>
      <c r="C74" s="1" t="str">
        <f t="shared" si="20"/>
        <v>007</v>
      </c>
      <c r="D74" s="1" t="str">
        <f t="shared" si="21"/>
        <v>WILL ROGERS ELEMENTARY SCHOOL</v>
      </c>
      <c r="E74" s="1" t="str">
        <f>"007"</f>
        <v>007</v>
      </c>
      <c r="F74" s="1" t="str">
        <f>"CLASSROOM BUILDING RM 206"</f>
        <v>CLASSROOM BUILDING RM 206</v>
      </c>
      <c r="G74" s="1" t="str">
        <f t="shared" si="22"/>
        <v>2401 14TH STREET</v>
      </c>
      <c r="H74" s="1" t="str">
        <f t="shared" si="23"/>
        <v>SANTA MONICA</v>
      </c>
      <c r="I74" s="1" t="str">
        <f t="shared" si="24"/>
        <v>CA</v>
      </c>
      <c r="J74" s="1" t="str">
        <f t="shared" si="25"/>
        <v>90405</v>
      </c>
      <c r="K74" s="1">
        <v>1950</v>
      </c>
      <c r="L74" s="1">
        <v>960</v>
      </c>
      <c r="M74" s="1">
        <v>276000</v>
      </c>
      <c r="N74" s="1">
        <v>29000</v>
      </c>
      <c r="O74" s="1">
        <f t="shared" si="26"/>
        <v>305000</v>
      </c>
      <c r="P74" s="1">
        <v>0</v>
      </c>
      <c r="Q74" s="11">
        <v>42326</v>
      </c>
    </row>
    <row r="75" spans="1:17" x14ac:dyDescent="0.25">
      <c r="A75" s="8" t="str">
        <f t="shared" si="18"/>
        <v>042</v>
      </c>
      <c r="B75" s="1" t="str">
        <f t="shared" si="19"/>
        <v>SANTA MONICA-MALIBU UNIFIED SCHOOL DISTRICT</v>
      </c>
      <c r="C75" s="1" t="str">
        <f t="shared" si="20"/>
        <v>007</v>
      </c>
      <c r="D75" s="1" t="str">
        <f t="shared" si="21"/>
        <v>WILL ROGERS ELEMENTARY SCHOOL</v>
      </c>
      <c r="E75" s="1" t="str">
        <f>"009"</f>
        <v>009</v>
      </c>
      <c r="F75" s="1" t="str">
        <f>"CLASSROOM BUILDING RM 306"</f>
        <v>CLASSROOM BUILDING RM 306</v>
      </c>
      <c r="G75" s="1" t="str">
        <f t="shared" si="22"/>
        <v>2401 14TH STREET</v>
      </c>
      <c r="H75" s="1" t="str">
        <f t="shared" si="23"/>
        <v>SANTA MONICA</v>
      </c>
      <c r="I75" s="1" t="str">
        <f t="shared" si="24"/>
        <v>CA</v>
      </c>
      <c r="J75" s="1" t="str">
        <f t="shared" si="25"/>
        <v>90405</v>
      </c>
      <c r="K75" s="1">
        <v>1950</v>
      </c>
      <c r="L75" s="1">
        <v>960</v>
      </c>
      <c r="M75" s="1">
        <v>276000</v>
      </c>
      <c r="N75" s="1">
        <v>29000</v>
      </c>
      <c r="O75" s="1">
        <f t="shared" si="26"/>
        <v>305000</v>
      </c>
      <c r="P75" s="1">
        <v>0</v>
      </c>
      <c r="Q75" s="11">
        <v>42326</v>
      </c>
    </row>
    <row r="76" spans="1:17" x14ac:dyDescent="0.25">
      <c r="A76" s="8" t="str">
        <f t="shared" si="18"/>
        <v>042</v>
      </c>
      <c r="B76" s="1" t="str">
        <f t="shared" si="19"/>
        <v>SANTA MONICA-MALIBU UNIFIED SCHOOL DISTRICT</v>
      </c>
      <c r="C76" s="1" t="str">
        <f t="shared" si="20"/>
        <v>007</v>
      </c>
      <c r="D76" s="1" t="str">
        <f t="shared" si="21"/>
        <v>WILL ROGERS ELEMENTARY SCHOOL</v>
      </c>
      <c r="E76" s="1" t="str">
        <f>"011"</f>
        <v>011</v>
      </c>
      <c r="F76" s="1" t="str">
        <f>"CLASSROOM BUILDING RM 406"</f>
        <v>CLASSROOM BUILDING RM 406</v>
      </c>
      <c r="G76" s="1" t="str">
        <f t="shared" si="22"/>
        <v>2401 14TH STREET</v>
      </c>
      <c r="H76" s="1" t="str">
        <f t="shared" si="23"/>
        <v>SANTA MONICA</v>
      </c>
      <c r="I76" s="1" t="str">
        <f t="shared" si="24"/>
        <v>CA</v>
      </c>
      <c r="J76" s="1" t="str">
        <f t="shared" si="25"/>
        <v>90405</v>
      </c>
      <c r="K76" s="1">
        <v>1950</v>
      </c>
      <c r="L76" s="1">
        <v>960</v>
      </c>
      <c r="M76" s="1">
        <v>276000</v>
      </c>
      <c r="N76" s="1">
        <v>29000</v>
      </c>
      <c r="O76" s="1">
        <f t="shared" si="26"/>
        <v>305000</v>
      </c>
      <c r="P76" s="1">
        <v>0</v>
      </c>
      <c r="Q76" s="11">
        <v>42326</v>
      </c>
    </row>
    <row r="77" spans="1:17" x14ac:dyDescent="0.25">
      <c r="A77" s="8" t="str">
        <f t="shared" si="18"/>
        <v>042</v>
      </c>
      <c r="B77" s="1" t="str">
        <f t="shared" si="19"/>
        <v>SANTA MONICA-MALIBU UNIFIED SCHOOL DISTRICT</v>
      </c>
      <c r="C77" s="1" t="str">
        <f t="shared" si="20"/>
        <v>007</v>
      </c>
      <c r="D77" s="1" t="str">
        <f t="shared" si="21"/>
        <v>WILL ROGERS ELEMENTARY SCHOOL</v>
      </c>
      <c r="E77" s="1" t="str">
        <f>"013"</f>
        <v>013</v>
      </c>
      <c r="F77" s="1" t="str">
        <f>"CLASSROOM BUILDING RM 506"</f>
        <v>CLASSROOM BUILDING RM 506</v>
      </c>
      <c r="G77" s="1" t="str">
        <f t="shared" si="22"/>
        <v>2401 14TH STREET</v>
      </c>
      <c r="H77" s="1" t="str">
        <f t="shared" si="23"/>
        <v>SANTA MONICA</v>
      </c>
      <c r="I77" s="1" t="str">
        <f t="shared" si="24"/>
        <v>CA</v>
      </c>
      <c r="J77" s="1" t="str">
        <f t="shared" si="25"/>
        <v>90405</v>
      </c>
      <c r="K77" s="1">
        <v>1950</v>
      </c>
      <c r="L77" s="1">
        <v>1023</v>
      </c>
      <c r="M77" s="1">
        <v>299000</v>
      </c>
      <c r="N77" s="1">
        <v>31000</v>
      </c>
      <c r="O77" s="1">
        <f t="shared" si="26"/>
        <v>330000</v>
      </c>
      <c r="P77" s="1">
        <v>0</v>
      </c>
      <c r="Q77" s="11">
        <v>42326</v>
      </c>
    </row>
    <row r="78" spans="1:17" x14ac:dyDescent="0.25">
      <c r="A78" s="8" t="str">
        <f t="shared" si="18"/>
        <v>042</v>
      </c>
      <c r="B78" s="1" t="str">
        <f t="shared" si="19"/>
        <v>SANTA MONICA-MALIBU UNIFIED SCHOOL DISTRICT</v>
      </c>
      <c r="C78" s="1" t="str">
        <f t="shared" si="20"/>
        <v>007</v>
      </c>
      <c r="D78" s="1" t="str">
        <f t="shared" si="21"/>
        <v>WILL ROGERS ELEMENTARY SCHOOL</v>
      </c>
      <c r="E78" s="1" t="str">
        <f>"014"</f>
        <v>014</v>
      </c>
      <c r="F78" s="1" t="str">
        <f>"CLASSROOM BUILDING RMS 507-511"</f>
        <v>CLASSROOM BUILDING RMS 507-511</v>
      </c>
      <c r="G78" s="1" t="str">
        <f t="shared" si="22"/>
        <v>2401 14TH STREET</v>
      </c>
      <c r="H78" s="1" t="str">
        <f t="shared" si="23"/>
        <v>SANTA MONICA</v>
      </c>
      <c r="I78" s="1" t="str">
        <f t="shared" si="24"/>
        <v>CA</v>
      </c>
      <c r="J78" s="1" t="str">
        <f t="shared" si="25"/>
        <v>90405</v>
      </c>
      <c r="K78" s="1">
        <v>1999</v>
      </c>
      <c r="L78" s="1">
        <v>4861</v>
      </c>
      <c r="M78" s="1">
        <v>1101000</v>
      </c>
      <c r="N78" s="1">
        <v>147000</v>
      </c>
      <c r="O78" s="1">
        <f t="shared" si="26"/>
        <v>1248000</v>
      </c>
      <c r="P78" s="1">
        <v>0</v>
      </c>
      <c r="Q78" s="11">
        <v>42326</v>
      </c>
    </row>
    <row r="79" spans="1:17" x14ac:dyDescent="0.25">
      <c r="A79" s="8" t="str">
        <f t="shared" si="18"/>
        <v>042</v>
      </c>
      <c r="B79" s="1" t="str">
        <f t="shared" si="19"/>
        <v>SANTA MONICA-MALIBU UNIFIED SCHOOL DISTRICT</v>
      </c>
      <c r="C79" s="1" t="str">
        <f t="shared" si="20"/>
        <v>007</v>
      </c>
      <c r="D79" s="1" t="str">
        <f t="shared" si="21"/>
        <v>WILL ROGERS ELEMENTARY SCHOOL</v>
      </c>
      <c r="E79" s="1" t="str">
        <f>"015"</f>
        <v>015</v>
      </c>
      <c r="F79" s="1" t="str">
        <f>"PE STORAGE/RESTROOM BUILDING"</f>
        <v>PE STORAGE/RESTROOM BUILDING</v>
      </c>
      <c r="G79" s="1" t="str">
        <f t="shared" si="22"/>
        <v>2401 14TH STREET</v>
      </c>
      <c r="H79" s="1" t="str">
        <f t="shared" si="23"/>
        <v>SANTA MONICA</v>
      </c>
      <c r="I79" s="1" t="str">
        <f t="shared" si="24"/>
        <v>CA</v>
      </c>
      <c r="J79" s="1" t="str">
        <f t="shared" si="25"/>
        <v>90405</v>
      </c>
      <c r="K79" s="1">
        <v>2000</v>
      </c>
      <c r="L79" s="1">
        <v>429</v>
      </c>
      <c r="M79" s="1">
        <v>104000</v>
      </c>
      <c r="N79" s="1">
        <v>18000</v>
      </c>
      <c r="O79" s="1">
        <f t="shared" si="26"/>
        <v>122000</v>
      </c>
      <c r="P79" s="1">
        <v>0</v>
      </c>
      <c r="Q79" s="11">
        <v>42326</v>
      </c>
    </row>
    <row r="80" spans="1:17" x14ac:dyDescent="0.25">
      <c r="A80" s="8" t="str">
        <f t="shared" si="18"/>
        <v>042</v>
      </c>
      <c r="B80" s="1" t="str">
        <f t="shared" si="19"/>
        <v>SANTA MONICA-MALIBU UNIFIED SCHOOL DISTRICT</v>
      </c>
      <c r="C80" s="1" t="str">
        <f t="shared" si="20"/>
        <v>007</v>
      </c>
      <c r="D80" s="1" t="str">
        <f t="shared" si="21"/>
        <v>WILL ROGERS ELEMENTARY SCHOOL</v>
      </c>
      <c r="E80" s="1" t="str">
        <f>"098"</f>
        <v>098</v>
      </c>
      <c r="F80" s="1" t="str">
        <f>"COVERED EATING AREA"</f>
        <v>COVERED EATING AREA</v>
      </c>
      <c r="G80" s="1" t="str">
        <f t="shared" si="22"/>
        <v>2401 14TH STREET</v>
      </c>
      <c r="H80" s="1" t="str">
        <f t="shared" si="23"/>
        <v>SANTA MONICA</v>
      </c>
      <c r="I80" s="1" t="str">
        <f t="shared" si="24"/>
        <v>CA</v>
      </c>
      <c r="J80" s="1" t="str">
        <f t="shared" si="25"/>
        <v>90405</v>
      </c>
      <c r="K80" s="1">
        <v>2012</v>
      </c>
      <c r="L80" s="1">
        <v>630</v>
      </c>
      <c r="M80" s="1">
        <v>13000</v>
      </c>
      <c r="N80" s="1">
        <v>0</v>
      </c>
      <c r="O80" s="1">
        <f t="shared" si="26"/>
        <v>13000</v>
      </c>
      <c r="P80" s="1">
        <v>0</v>
      </c>
      <c r="Q80" s="11">
        <v>42326</v>
      </c>
    </row>
    <row r="81" spans="1:17" x14ac:dyDescent="0.25">
      <c r="A81" s="8" t="str">
        <f t="shared" si="18"/>
        <v>042</v>
      </c>
      <c r="B81" s="1" t="str">
        <f t="shared" si="19"/>
        <v>SANTA MONICA-MALIBU UNIFIED SCHOOL DISTRICT</v>
      </c>
      <c r="C81" s="1" t="str">
        <f t="shared" si="20"/>
        <v>007</v>
      </c>
      <c r="D81" s="1" t="str">
        <f t="shared" si="21"/>
        <v>WILL ROGERS ELEMENTARY SCHOOL</v>
      </c>
      <c r="E81" s="1" t="str">
        <f>"098A"</f>
        <v>098A</v>
      </c>
      <c r="F81" s="1" t="str">
        <f>"COVERED EATING AREA"</f>
        <v>COVERED EATING AREA</v>
      </c>
      <c r="G81" s="1" t="str">
        <f t="shared" si="22"/>
        <v>2401 14TH STREET</v>
      </c>
      <c r="H81" s="1" t="str">
        <f t="shared" si="23"/>
        <v>SANTA MONICA</v>
      </c>
      <c r="I81" s="1" t="str">
        <f t="shared" si="24"/>
        <v>CA</v>
      </c>
      <c r="J81" s="1" t="str">
        <f t="shared" si="25"/>
        <v>90405</v>
      </c>
      <c r="K81" s="1">
        <v>2005</v>
      </c>
      <c r="L81" s="1">
        <v>1309</v>
      </c>
      <c r="M81" s="1">
        <v>38000</v>
      </c>
      <c r="N81" s="1">
        <v>0</v>
      </c>
      <c r="O81" s="1">
        <f t="shared" si="26"/>
        <v>38000</v>
      </c>
      <c r="P81" s="1">
        <v>0</v>
      </c>
      <c r="Q81" s="11">
        <v>42326</v>
      </c>
    </row>
    <row r="82" spans="1:17" x14ac:dyDescent="0.25">
      <c r="A82" s="8" t="str">
        <f t="shared" si="18"/>
        <v>042</v>
      </c>
      <c r="B82" s="1" t="str">
        <f t="shared" si="19"/>
        <v>SANTA MONICA-MALIBU UNIFIED SCHOOL DISTRICT</v>
      </c>
      <c r="C82" s="1" t="str">
        <f t="shared" si="20"/>
        <v>007</v>
      </c>
      <c r="D82" s="1" t="str">
        <f t="shared" si="21"/>
        <v>WILL ROGERS ELEMENTARY SCHOOL</v>
      </c>
      <c r="E82" s="1" t="str">
        <f>"099"</f>
        <v>099</v>
      </c>
      <c r="F82" s="1" t="str">
        <f>"COVERED PASSAGES"</f>
        <v>COVERED PASSAGES</v>
      </c>
      <c r="G82" s="1" t="str">
        <f t="shared" si="22"/>
        <v>2401 14TH STREET</v>
      </c>
      <c r="H82" s="1" t="str">
        <f t="shared" si="23"/>
        <v>SANTA MONICA</v>
      </c>
      <c r="I82" s="1" t="str">
        <f t="shared" si="24"/>
        <v>CA</v>
      </c>
      <c r="J82" s="1" t="str">
        <f t="shared" si="25"/>
        <v>90405</v>
      </c>
      <c r="K82" s="1">
        <v>1946</v>
      </c>
      <c r="L82" s="1">
        <v>16430</v>
      </c>
      <c r="M82" s="1">
        <v>457000</v>
      </c>
      <c r="N82" s="1">
        <v>0</v>
      </c>
      <c r="O82" s="1">
        <f t="shared" si="26"/>
        <v>457000</v>
      </c>
      <c r="P82" s="1">
        <v>0</v>
      </c>
      <c r="Q82" s="11">
        <v>42326</v>
      </c>
    </row>
    <row r="83" spans="1:17" x14ac:dyDescent="0.25">
      <c r="A83" s="8" t="str">
        <f t="shared" si="18"/>
        <v>042</v>
      </c>
      <c r="B83" s="1" t="str">
        <f t="shared" si="19"/>
        <v>SANTA MONICA-MALIBU UNIFIED SCHOOL DISTRICT</v>
      </c>
      <c r="C83" s="1" t="str">
        <f t="shared" si="20"/>
        <v>007</v>
      </c>
      <c r="D83" s="1" t="str">
        <f t="shared" si="21"/>
        <v>WILL ROGERS ELEMENTARY SCHOOL</v>
      </c>
      <c r="E83" s="1" t="str">
        <f>"901"</f>
        <v>901</v>
      </c>
      <c r="F83" s="1" t="str">
        <f>"PORTABLE CLASSROOM BUILDING RM 3"</f>
        <v>PORTABLE CLASSROOM BUILDING RM 3</v>
      </c>
      <c r="G83" s="1" t="str">
        <f t="shared" si="22"/>
        <v>2401 14TH STREET</v>
      </c>
      <c r="H83" s="1" t="str">
        <f t="shared" si="23"/>
        <v>SANTA MONICA</v>
      </c>
      <c r="I83" s="1" t="str">
        <f t="shared" si="24"/>
        <v>CA</v>
      </c>
      <c r="J83" s="1" t="str">
        <f t="shared" si="25"/>
        <v>90405</v>
      </c>
      <c r="K83" s="1">
        <v>1992</v>
      </c>
      <c r="L83" s="1">
        <v>960</v>
      </c>
      <c r="M83" s="1">
        <v>96000</v>
      </c>
      <c r="N83" s="1">
        <v>21000</v>
      </c>
      <c r="O83" s="1">
        <f t="shared" si="26"/>
        <v>117000</v>
      </c>
      <c r="P83" s="1">
        <v>0</v>
      </c>
      <c r="Q83" s="11">
        <v>42326</v>
      </c>
    </row>
    <row r="84" spans="1:17" x14ac:dyDescent="0.25">
      <c r="A84" s="8" t="str">
        <f t="shared" si="18"/>
        <v>042</v>
      </c>
      <c r="B84" s="1" t="str">
        <f t="shared" si="19"/>
        <v>SANTA MONICA-MALIBU UNIFIED SCHOOL DISTRICT</v>
      </c>
      <c r="C84" s="1" t="str">
        <f t="shared" si="20"/>
        <v>007</v>
      </c>
      <c r="D84" s="1" t="str">
        <f t="shared" si="21"/>
        <v>WILL ROGERS ELEMENTARY SCHOOL</v>
      </c>
      <c r="E84" s="1" t="str">
        <f>"902"</f>
        <v>902</v>
      </c>
      <c r="F84" s="1" t="str">
        <f>"PORTABLE CLASSROOM BUILDING RM 4"</f>
        <v>PORTABLE CLASSROOM BUILDING RM 4</v>
      </c>
      <c r="G84" s="1" t="str">
        <f t="shared" si="22"/>
        <v>2401 14TH STREET</v>
      </c>
      <c r="H84" s="1" t="str">
        <f t="shared" si="23"/>
        <v>SANTA MONICA</v>
      </c>
      <c r="I84" s="1" t="str">
        <f t="shared" si="24"/>
        <v>CA</v>
      </c>
      <c r="J84" s="1" t="str">
        <f t="shared" si="25"/>
        <v>90405</v>
      </c>
      <c r="K84" s="1">
        <v>1992</v>
      </c>
      <c r="L84" s="1">
        <v>960</v>
      </c>
      <c r="M84" s="1">
        <v>96000</v>
      </c>
      <c r="N84" s="1">
        <v>21000</v>
      </c>
      <c r="O84" s="1">
        <f t="shared" si="26"/>
        <v>117000</v>
      </c>
      <c r="P84" s="1">
        <v>0</v>
      </c>
      <c r="Q84" s="11">
        <v>42326</v>
      </c>
    </row>
    <row r="85" spans="1:17" x14ac:dyDescent="0.25">
      <c r="A85" s="8" t="str">
        <f t="shared" si="18"/>
        <v>042</v>
      </c>
      <c r="B85" s="1" t="str">
        <f t="shared" si="19"/>
        <v>SANTA MONICA-MALIBU UNIFIED SCHOOL DISTRICT</v>
      </c>
      <c r="C85" s="1" t="str">
        <f t="shared" si="20"/>
        <v>007</v>
      </c>
      <c r="D85" s="1" t="str">
        <f t="shared" si="21"/>
        <v>WILL ROGERS ELEMENTARY SCHOOL</v>
      </c>
      <c r="E85" s="1" t="str">
        <f>"903"</f>
        <v>903</v>
      </c>
      <c r="F85" s="1" t="str">
        <f>"PORTABLE CLASSROOM BUILDING RM 5"</f>
        <v>PORTABLE CLASSROOM BUILDING RM 5</v>
      </c>
      <c r="G85" s="1" t="str">
        <f t="shared" si="22"/>
        <v>2401 14TH STREET</v>
      </c>
      <c r="H85" s="1" t="str">
        <f t="shared" si="23"/>
        <v>SANTA MONICA</v>
      </c>
      <c r="I85" s="1" t="str">
        <f t="shared" si="24"/>
        <v>CA</v>
      </c>
      <c r="J85" s="1" t="str">
        <f t="shared" si="25"/>
        <v>90405</v>
      </c>
      <c r="K85" s="1">
        <v>1992</v>
      </c>
      <c r="L85" s="1">
        <v>960</v>
      </c>
      <c r="M85" s="1">
        <v>96000</v>
      </c>
      <c r="N85" s="1">
        <v>21000</v>
      </c>
      <c r="O85" s="1">
        <f t="shared" si="26"/>
        <v>117000</v>
      </c>
      <c r="P85" s="1">
        <v>0</v>
      </c>
      <c r="Q85" s="11">
        <v>42326</v>
      </c>
    </row>
    <row r="86" spans="1:17" x14ac:dyDescent="0.25">
      <c r="A86" s="8" t="str">
        <f t="shared" si="18"/>
        <v>042</v>
      </c>
      <c r="B86" s="1" t="str">
        <f t="shared" si="19"/>
        <v>SANTA MONICA-MALIBU UNIFIED SCHOOL DISTRICT</v>
      </c>
      <c r="C86" s="1" t="str">
        <f t="shared" si="20"/>
        <v>007</v>
      </c>
      <c r="D86" s="1" t="str">
        <f t="shared" si="21"/>
        <v>WILL ROGERS ELEMENTARY SCHOOL</v>
      </c>
      <c r="E86" s="1" t="str">
        <f>"904"</f>
        <v>904</v>
      </c>
      <c r="F86" s="1" t="str">
        <f>"PORTABLE CLASSROOM BUILDING RM 6"</f>
        <v>PORTABLE CLASSROOM BUILDING RM 6</v>
      </c>
      <c r="G86" s="1" t="str">
        <f t="shared" si="22"/>
        <v>2401 14TH STREET</v>
      </c>
      <c r="H86" s="1" t="str">
        <f t="shared" si="23"/>
        <v>SANTA MONICA</v>
      </c>
      <c r="I86" s="1" t="str">
        <f t="shared" si="24"/>
        <v>CA</v>
      </c>
      <c r="J86" s="1" t="str">
        <f t="shared" si="25"/>
        <v>90405</v>
      </c>
      <c r="K86" s="1">
        <v>1998</v>
      </c>
      <c r="L86" s="1">
        <v>960</v>
      </c>
      <c r="M86" s="1">
        <v>96000</v>
      </c>
      <c r="N86" s="1">
        <v>21000</v>
      </c>
      <c r="O86" s="1">
        <f t="shared" si="26"/>
        <v>117000</v>
      </c>
      <c r="P86" s="1">
        <v>0</v>
      </c>
      <c r="Q86" s="11">
        <v>42326</v>
      </c>
    </row>
    <row r="87" spans="1:17" x14ac:dyDescent="0.25">
      <c r="A87" s="8" t="str">
        <f t="shared" si="18"/>
        <v>042</v>
      </c>
      <c r="B87" s="1" t="str">
        <f t="shared" si="19"/>
        <v>SANTA MONICA-MALIBU UNIFIED SCHOOL DISTRICT</v>
      </c>
      <c r="C87" s="1" t="str">
        <f t="shared" si="20"/>
        <v>007</v>
      </c>
      <c r="D87" s="1" t="str">
        <f t="shared" si="21"/>
        <v>WILL ROGERS ELEMENTARY SCHOOL</v>
      </c>
      <c r="E87" s="1" t="str">
        <f>"905"</f>
        <v>905</v>
      </c>
      <c r="F87" s="1" t="str">
        <f>"PORTABLE CLASSROOM BUILDING RM 407"</f>
        <v>PORTABLE CLASSROOM BUILDING RM 407</v>
      </c>
      <c r="G87" s="1" t="str">
        <f t="shared" si="22"/>
        <v>2401 14TH STREET</v>
      </c>
      <c r="H87" s="1" t="str">
        <f t="shared" si="23"/>
        <v>SANTA MONICA</v>
      </c>
      <c r="I87" s="1" t="str">
        <f t="shared" si="24"/>
        <v>CA</v>
      </c>
      <c r="J87" s="1" t="str">
        <f t="shared" si="25"/>
        <v>90405</v>
      </c>
      <c r="K87" s="1">
        <v>1998</v>
      </c>
      <c r="L87" s="1">
        <v>960</v>
      </c>
      <c r="M87" s="1">
        <v>96000</v>
      </c>
      <c r="N87" s="1">
        <v>21000</v>
      </c>
      <c r="O87" s="1">
        <f t="shared" si="26"/>
        <v>117000</v>
      </c>
      <c r="P87" s="1">
        <v>0</v>
      </c>
      <c r="Q87" s="11">
        <v>42326</v>
      </c>
    </row>
    <row r="88" spans="1:17" x14ac:dyDescent="0.25">
      <c r="A88" s="8" t="str">
        <f t="shared" si="18"/>
        <v>042</v>
      </c>
      <c r="B88" s="1" t="str">
        <f t="shared" si="19"/>
        <v>SANTA MONICA-MALIBU UNIFIED SCHOOL DISTRICT</v>
      </c>
      <c r="C88" s="1" t="str">
        <f t="shared" si="20"/>
        <v>007</v>
      </c>
      <c r="D88" s="1" t="str">
        <f t="shared" si="21"/>
        <v>WILL ROGERS ELEMENTARY SCHOOL</v>
      </c>
      <c r="E88" s="1" t="str">
        <f>"906"</f>
        <v>906</v>
      </c>
      <c r="F88" s="1" t="str">
        <f>"PORTABLE CLASSROOM BUILDING RM 408"</f>
        <v>PORTABLE CLASSROOM BUILDING RM 408</v>
      </c>
      <c r="G88" s="1" t="str">
        <f t="shared" si="22"/>
        <v>2401 14TH STREET</v>
      </c>
      <c r="H88" s="1" t="str">
        <f t="shared" si="23"/>
        <v>SANTA MONICA</v>
      </c>
      <c r="I88" s="1" t="str">
        <f t="shared" si="24"/>
        <v>CA</v>
      </c>
      <c r="J88" s="1" t="str">
        <f t="shared" si="25"/>
        <v>90405</v>
      </c>
      <c r="K88" s="1">
        <v>1992</v>
      </c>
      <c r="L88" s="1">
        <v>960</v>
      </c>
      <c r="M88" s="1">
        <v>96000</v>
      </c>
      <c r="N88" s="1">
        <v>21000</v>
      </c>
      <c r="O88" s="1">
        <f t="shared" si="26"/>
        <v>117000</v>
      </c>
      <c r="P88" s="1">
        <v>0</v>
      </c>
      <c r="Q88" s="11">
        <v>42326</v>
      </c>
    </row>
    <row r="89" spans="1:17" x14ac:dyDescent="0.25">
      <c r="A89" s="8" t="str">
        <f t="shared" si="18"/>
        <v>042</v>
      </c>
      <c r="B89" s="1" t="str">
        <f t="shared" si="19"/>
        <v>SANTA MONICA-MALIBU UNIFIED SCHOOL DISTRICT</v>
      </c>
      <c r="C89" s="1" t="str">
        <f t="shared" si="20"/>
        <v>007</v>
      </c>
      <c r="D89" s="1" t="str">
        <f t="shared" si="21"/>
        <v>WILL ROGERS ELEMENTARY SCHOOL</v>
      </c>
      <c r="E89" s="1" t="str">
        <f>"002"</f>
        <v>002</v>
      </c>
      <c r="F89" s="1" t="str">
        <f>"MULTIPURPOSE BUILDING"</f>
        <v>MULTIPURPOSE BUILDING</v>
      </c>
      <c r="G89" s="1" t="str">
        <f t="shared" si="22"/>
        <v>2401 14TH STREET</v>
      </c>
      <c r="H89" s="1" t="str">
        <f t="shared" si="23"/>
        <v>SANTA MONICA</v>
      </c>
      <c r="I89" s="1" t="str">
        <f t="shared" si="24"/>
        <v>CA</v>
      </c>
      <c r="J89" s="1" t="str">
        <f t="shared" si="25"/>
        <v>90405</v>
      </c>
      <c r="K89" s="1">
        <v>1948</v>
      </c>
      <c r="L89" s="1">
        <v>5456</v>
      </c>
      <c r="M89" s="1">
        <v>1361000</v>
      </c>
      <c r="N89" s="1">
        <v>180000</v>
      </c>
      <c r="O89" s="1">
        <f t="shared" si="26"/>
        <v>1541000</v>
      </c>
      <c r="P89" s="1">
        <v>0</v>
      </c>
      <c r="Q89" s="11">
        <v>42326</v>
      </c>
    </row>
    <row r="90" spans="1:17" x14ac:dyDescent="0.25">
      <c r="A90" s="8" t="str">
        <f t="shared" si="18"/>
        <v>042</v>
      </c>
      <c r="B90" s="1" t="str">
        <f t="shared" si="19"/>
        <v>SANTA MONICA-MALIBU UNIFIED SCHOOL DISTRICT</v>
      </c>
      <c r="C90" s="1" t="str">
        <f t="shared" ref="C90:C107" si="27">"005"</f>
        <v>005</v>
      </c>
      <c r="D90" s="1" t="str">
        <f t="shared" ref="D90:D107" si="28">"MCKINLEY ELEMENTARY SCHOOL"</f>
        <v>MCKINLEY ELEMENTARY SCHOOL</v>
      </c>
      <c r="E90" s="1" t="str">
        <f>"001"</f>
        <v>001</v>
      </c>
      <c r="F90" s="1" t="str">
        <f>"ADMINISTRATION/CLASSROOM BUILDING"</f>
        <v>ADMINISTRATION/CLASSROOM BUILDING</v>
      </c>
      <c r="G90" s="1" t="str">
        <f t="shared" ref="G90:G107" si="29">"2401 SANTA MONICA BOULEVARD"</f>
        <v>2401 SANTA MONICA BOULEVARD</v>
      </c>
      <c r="H90" s="1" t="str">
        <f t="shared" si="23"/>
        <v>SANTA MONICA</v>
      </c>
      <c r="I90" s="1" t="str">
        <f t="shared" si="24"/>
        <v>CA</v>
      </c>
      <c r="J90" s="1" t="str">
        <f t="shared" ref="J90:J114" si="30">"90404"</f>
        <v>90404</v>
      </c>
      <c r="K90" s="1">
        <v>1923</v>
      </c>
      <c r="L90" s="1">
        <v>30497</v>
      </c>
      <c r="M90" s="1">
        <v>7846000</v>
      </c>
      <c r="N90" s="1">
        <v>962000</v>
      </c>
      <c r="O90" s="1">
        <f t="shared" si="26"/>
        <v>8808000</v>
      </c>
      <c r="P90" s="1">
        <v>1280</v>
      </c>
      <c r="Q90" s="11">
        <v>42323</v>
      </c>
    </row>
    <row r="91" spans="1:17" x14ac:dyDescent="0.25">
      <c r="A91" s="8" t="str">
        <f t="shared" si="18"/>
        <v>042</v>
      </c>
      <c r="B91" s="1" t="str">
        <f t="shared" si="19"/>
        <v>SANTA MONICA-MALIBU UNIFIED SCHOOL DISTRICT</v>
      </c>
      <c r="C91" s="1" t="str">
        <f t="shared" si="27"/>
        <v>005</v>
      </c>
      <c r="D91" s="1" t="str">
        <f t="shared" si="28"/>
        <v>MCKINLEY ELEMENTARY SCHOOL</v>
      </c>
      <c r="E91" s="1" t="str">
        <f>"002"</f>
        <v>002</v>
      </c>
      <c r="F91" s="1" t="str">
        <f>"CAFETERIA BUILDING"</f>
        <v>CAFETERIA BUILDING</v>
      </c>
      <c r="G91" s="1" t="str">
        <f t="shared" si="29"/>
        <v>2401 SANTA MONICA BOULEVARD</v>
      </c>
      <c r="H91" s="1" t="str">
        <f t="shared" si="23"/>
        <v>SANTA MONICA</v>
      </c>
      <c r="I91" s="1" t="str">
        <f t="shared" si="24"/>
        <v>CA</v>
      </c>
      <c r="J91" s="1" t="str">
        <f t="shared" si="30"/>
        <v>90404</v>
      </c>
      <c r="K91" s="1">
        <v>1923</v>
      </c>
      <c r="L91" s="1">
        <v>4680</v>
      </c>
      <c r="M91" s="1">
        <v>1357000</v>
      </c>
      <c r="N91" s="1">
        <v>147000</v>
      </c>
      <c r="O91" s="1">
        <f t="shared" si="26"/>
        <v>1504000</v>
      </c>
      <c r="P91" s="1">
        <v>0</v>
      </c>
      <c r="Q91" s="11">
        <v>42323</v>
      </c>
    </row>
    <row r="92" spans="1:17" x14ac:dyDescent="0.25">
      <c r="A92" s="8" t="str">
        <f t="shared" si="18"/>
        <v>042</v>
      </c>
      <c r="B92" s="1" t="str">
        <f t="shared" si="19"/>
        <v>SANTA MONICA-MALIBU UNIFIED SCHOOL DISTRICT</v>
      </c>
      <c r="C92" s="1" t="str">
        <f t="shared" si="27"/>
        <v>005</v>
      </c>
      <c r="D92" s="1" t="str">
        <f t="shared" si="28"/>
        <v>MCKINLEY ELEMENTARY SCHOOL</v>
      </c>
      <c r="E92" s="1" t="str">
        <f>"004"</f>
        <v>004</v>
      </c>
      <c r="F92" s="1" t="str">
        <f>"CLASSROOM BUILDING RMS 107-210"</f>
        <v>CLASSROOM BUILDING RMS 107-210</v>
      </c>
      <c r="G92" s="1" t="str">
        <f t="shared" si="29"/>
        <v>2401 SANTA MONICA BOULEVARD</v>
      </c>
      <c r="H92" s="1" t="str">
        <f t="shared" si="23"/>
        <v>SANTA MONICA</v>
      </c>
      <c r="I92" s="1" t="str">
        <f t="shared" si="24"/>
        <v>CA</v>
      </c>
      <c r="J92" s="1" t="str">
        <f t="shared" si="30"/>
        <v>90404</v>
      </c>
      <c r="K92" s="1">
        <v>1923</v>
      </c>
      <c r="L92" s="1">
        <v>13320</v>
      </c>
      <c r="M92" s="1">
        <v>3346000</v>
      </c>
      <c r="N92" s="1">
        <v>452000</v>
      </c>
      <c r="O92" s="1">
        <f t="shared" si="26"/>
        <v>3798000</v>
      </c>
      <c r="P92" s="1">
        <v>1598</v>
      </c>
      <c r="Q92" s="11">
        <v>42323</v>
      </c>
    </row>
    <row r="93" spans="1:17" x14ac:dyDescent="0.25">
      <c r="A93" s="8" t="str">
        <f t="shared" si="18"/>
        <v>042</v>
      </c>
      <c r="B93" s="1" t="str">
        <f t="shared" si="19"/>
        <v>SANTA MONICA-MALIBU UNIFIED SCHOOL DISTRICT</v>
      </c>
      <c r="C93" s="1" t="str">
        <f t="shared" si="27"/>
        <v>005</v>
      </c>
      <c r="D93" s="1" t="str">
        <f t="shared" si="28"/>
        <v>MCKINLEY ELEMENTARY SCHOOL</v>
      </c>
      <c r="E93" s="1" t="str">
        <f>"005"</f>
        <v>005</v>
      </c>
      <c r="F93" s="1" t="str">
        <f>"CLASSROOM BUILDING RMS B10-B11"</f>
        <v>CLASSROOM BUILDING RMS B10-B11</v>
      </c>
      <c r="G93" s="1" t="str">
        <f t="shared" si="29"/>
        <v>2401 SANTA MONICA BOULEVARD</v>
      </c>
      <c r="H93" s="1" t="str">
        <f t="shared" si="23"/>
        <v>SANTA MONICA</v>
      </c>
      <c r="I93" s="1" t="str">
        <f t="shared" si="24"/>
        <v>CA</v>
      </c>
      <c r="J93" s="1" t="str">
        <f t="shared" si="30"/>
        <v>90404</v>
      </c>
      <c r="K93" s="1">
        <v>2000</v>
      </c>
      <c r="L93" s="1">
        <v>1920</v>
      </c>
      <c r="M93" s="1">
        <v>341000</v>
      </c>
      <c r="N93" s="1">
        <v>58000</v>
      </c>
      <c r="O93" s="1">
        <f t="shared" si="26"/>
        <v>399000</v>
      </c>
      <c r="P93" s="1">
        <v>0</v>
      </c>
      <c r="Q93" s="11">
        <v>42323</v>
      </c>
    </row>
    <row r="94" spans="1:17" x14ac:dyDescent="0.25">
      <c r="A94" s="8" t="str">
        <f t="shared" si="18"/>
        <v>042</v>
      </c>
      <c r="B94" s="1" t="str">
        <f t="shared" si="19"/>
        <v>SANTA MONICA-MALIBU UNIFIED SCHOOL DISTRICT</v>
      </c>
      <c r="C94" s="1" t="str">
        <f t="shared" si="27"/>
        <v>005</v>
      </c>
      <c r="D94" s="1" t="str">
        <f t="shared" si="28"/>
        <v>MCKINLEY ELEMENTARY SCHOOL</v>
      </c>
      <c r="E94" s="1" t="str">
        <f>"006"</f>
        <v>006</v>
      </c>
      <c r="F94" s="1" t="str">
        <f>"PE STORAGE/RESTROOM BUILDING"</f>
        <v>PE STORAGE/RESTROOM BUILDING</v>
      </c>
      <c r="G94" s="1" t="str">
        <f t="shared" si="29"/>
        <v>2401 SANTA MONICA BOULEVARD</v>
      </c>
      <c r="H94" s="1" t="str">
        <f t="shared" si="23"/>
        <v>SANTA MONICA</v>
      </c>
      <c r="I94" s="1" t="str">
        <f t="shared" si="24"/>
        <v>CA</v>
      </c>
      <c r="J94" s="1" t="str">
        <f t="shared" si="30"/>
        <v>90404</v>
      </c>
      <c r="K94" s="1">
        <v>2000</v>
      </c>
      <c r="L94" s="1">
        <v>554</v>
      </c>
      <c r="M94" s="1">
        <v>130000</v>
      </c>
      <c r="N94" s="1">
        <v>3000</v>
      </c>
      <c r="O94" s="1">
        <f t="shared" si="26"/>
        <v>133000</v>
      </c>
      <c r="P94" s="1">
        <v>0</v>
      </c>
      <c r="Q94" s="11">
        <v>42323</v>
      </c>
    </row>
    <row r="95" spans="1:17" x14ac:dyDescent="0.25">
      <c r="A95" s="8" t="str">
        <f t="shared" si="18"/>
        <v>042</v>
      </c>
      <c r="B95" s="1" t="str">
        <f t="shared" si="19"/>
        <v>SANTA MONICA-MALIBU UNIFIED SCHOOL DISTRICT</v>
      </c>
      <c r="C95" s="1" t="str">
        <f t="shared" si="27"/>
        <v>005</v>
      </c>
      <c r="D95" s="1" t="str">
        <f t="shared" si="28"/>
        <v>MCKINLEY ELEMENTARY SCHOOL</v>
      </c>
      <c r="E95" s="1" t="str">
        <f>"003"</f>
        <v>003</v>
      </c>
      <c r="F95" s="1" t="str">
        <f>"CHILDCARE PRESCHOOL BUILDING"</f>
        <v>CHILDCARE PRESCHOOL BUILDING</v>
      </c>
      <c r="G95" s="1" t="str">
        <f t="shared" si="29"/>
        <v>2401 SANTA MONICA BOULEVARD</v>
      </c>
      <c r="H95" s="1" t="str">
        <f t="shared" si="23"/>
        <v>SANTA MONICA</v>
      </c>
      <c r="I95" s="1" t="str">
        <f t="shared" si="24"/>
        <v>CA</v>
      </c>
      <c r="J95" s="1" t="str">
        <f t="shared" si="30"/>
        <v>90404</v>
      </c>
      <c r="K95" s="1">
        <v>1923</v>
      </c>
      <c r="L95" s="1">
        <v>3520</v>
      </c>
      <c r="M95" s="1">
        <v>1030000</v>
      </c>
      <c r="N95" s="1">
        <v>107000</v>
      </c>
      <c r="O95" s="1">
        <f t="shared" si="26"/>
        <v>1137000</v>
      </c>
      <c r="P95" s="1">
        <v>0</v>
      </c>
      <c r="Q95" s="11">
        <v>42323</v>
      </c>
    </row>
    <row r="96" spans="1:17" x14ac:dyDescent="0.25">
      <c r="A96" s="8" t="str">
        <f t="shared" si="18"/>
        <v>042</v>
      </c>
      <c r="B96" s="1" t="str">
        <f t="shared" si="19"/>
        <v>SANTA MONICA-MALIBU UNIFIED SCHOOL DISTRICT</v>
      </c>
      <c r="C96" s="1" t="str">
        <f t="shared" si="27"/>
        <v>005</v>
      </c>
      <c r="D96" s="1" t="str">
        <f t="shared" si="28"/>
        <v>MCKINLEY ELEMENTARY SCHOOL</v>
      </c>
      <c r="E96" s="1" t="str">
        <f>"098"</f>
        <v>098</v>
      </c>
      <c r="F96" s="1" t="str">
        <f>"COVERED PLAY AREA"</f>
        <v>COVERED PLAY AREA</v>
      </c>
      <c r="G96" s="1" t="str">
        <f t="shared" si="29"/>
        <v>2401 SANTA MONICA BOULEVARD</v>
      </c>
      <c r="H96" s="1" t="str">
        <f t="shared" si="23"/>
        <v>SANTA MONICA</v>
      </c>
      <c r="I96" s="1" t="str">
        <f t="shared" si="24"/>
        <v>CA</v>
      </c>
      <c r="J96" s="1" t="str">
        <f t="shared" si="30"/>
        <v>90404</v>
      </c>
      <c r="K96" s="1">
        <v>1945</v>
      </c>
      <c r="L96" s="1">
        <v>400</v>
      </c>
      <c r="M96" s="1">
        <v>8000</v>
      </c>
      <c r="N96" s="1">
        <v>0</v>
      </c>
      <c r="O96" s="1">
        <f t="shared" si="26"/>
        <v>8000</v>
      </c>
      <c r="P96" s="1">
        <v>0</v>
      </c>
      <c r="Q96" s="11">
        <v>42325</v>
      </c>
    </row>
    <row r="97" spans="1:17" x14ac:dyDescent="0.25">
      <c r="A97" s="8" t="str">
        <f t="shared" si="18"/>
        <v>042</v>
      </c>
      <c r="B97" s="1" t="str">
        <f t="shared" si="19"/>
        <v>SANTA MONICA-MALIBU UNIFIED SCHOOL DISTRICT</v>
      </c>
      <c r="C97" s="1" t="str">
        <f t="shared" si="27"/>
        <v>005</v>
      </c>
      <c r="D97" s="1" t="str">
        <f t="shared" si="28"/>
        <v>MCKINLEY ELEMENTARY SCHOOL</v>
      </c>
      <c r="E97" s="1" t="str">
        <f>"098A"</f>
        <v>098A</v>
      </c>
      <c r="F97" s="1" t="str">
        <f>"COVERED EATING AREA"</f>
        <v>COVERED EATING AREA</v>
      </c>
      <c r="G97" s="1" t="str">
        <f t="shared" si="29"/>
        <v>2401 SANTA MONICA BOULEVARD</v>
      </c>
      <c r="H97" s="1" t="str">
        <f t="shared" si="23"/>
        <v>SANTA MONICA</v>
      </c>
      <c r="I97" s="1" t="str">
        <f t="shared" si="24"/>
        <v>CA</v>
      </c>
      <c r="J97" s="1" t="str">
        <f t="shared" si="30"/>
        <v>90404</v>
      </c>
      <c r="K97" s="1">
        <v>1945</v>
      </c>
      <c r="L97" s="1">
        <v>1440</v>
      </c>
      <c r="M97" s="1">
        <v>29000</v>
      </c>
      <c r="N97" s="1">
        <v>0</v>
      </c>
      <c r="O97" s="1">
        <f t="shared" si="26"/>
        <v>29000</v>
      </c>
      <c r="P97" s="1">
        <v>0</v>
      </c>
      <c r="Q97" s="11">
        <v>42325</v>
      </c>
    </row>
    <row r="98" spans="1:17" x14ac:dyDescent="0.25">
      <c r="A98" s="8" t="str">
        <f t="shared" si="18"/>
        <v>042</v>
      </c>
      <c r="B98" s="1" t="str">
        <f t="shared" si="19"/>
        <v>SANTA MONICA-MALIBU UNIFIED SCHOOL DISTRICT</v>
      </c>
      <c r="C98" s="1" t="str">
        <f t="shared" si="27"/>
        <v>005</v>
      </c>
      <c r="D98" s="1" t="str">
        <f t="shared" si="28"/>
        <v>MCKINLEY ELEMENTARY SCHOOL</v>
      </c>
      <c r="E98" s="1" t="str">
        <f>"099"</f>
        <v>099</v>
      </c>
      <c r="F98" s="1" t="str">
        <f>"COVERED PASSAGES"</f>
        <v>COVERED PASSAGES</v>
      </c>
      <c r="G98" s="1" t="str">
        <f t="shared" si="29"/>
        <v>2401 SANTA MONICA BOULEVARD</v>
      </c>
      <c r="H98" s="1" t="str">
        <f t="shared" ref="H98:H129" si="31">"SANTA MONICA"</f>
        <v>SANTA MONICA</v>
      </c>
      <c r="I98" s="1" t="str">
        <f t="shared" si="24"/>
        <v>CA</v>
      </c>
      <c r="J98" s="1" t="str">
        <f t="shared" si="30"/>
        <v>90404</v>
      </c>
      <c r="K98" s="1">
        <v>1945</v>
      </c>
      <c r="L98" s="1">
        <v>3520</v>
      </c>
      <c r="M98" s="1">
        <v>101000</v>
      </c>
      <c r="N98" s="1">
        <v>0</v>
      </c>
      <c r="O98" s="1">
        <f t="shared" si="26"/>
        <v>101000</v>
      </c>
      <c r="P98" s="1">
        <v>0</v>
      </c>
      <c r="Q98" s="11">
        <v>42325</v>
      </c>
    </row>
    <row r="99" spans="1:17" x14ac:dyDescent="0.25">
      <c r="A99" s="8" t="str">
        <f t="shared" si="18"/>
        <v>042</v>
      </c>
      <c r="B99" s="1" t="str">
        <f t="shared" si="19"/>
        <v>SANTA MONICA-MALIBU UNIFIED SCHOOL DISTRICT</v>
      </c>
      <c r="C99" s="1" t="str">
        <f t="shared" si="27"/>
        <v>005</v>
      </c>
      <c r="D99" s="1" t="str">
        <f t="shared" si="28"/>
        <v>MCKINLEY ELEMENTARY SCHOOL</v>
      </c>
      <c r="E99" s="1" t="str">
        <f>"901"</f>
        <v>901</v>
      </c>
      <c r="F99" s="1" t="str">
        <f>"PORTABLE CLASSROOM RM B1"</f>
        <v>PORTABLE CLASSROOM RM B1</v>
      </c>
      <c r="G99" s="1" t="str">
        <f t="shared" si="29"/>
        <v>2401 SANTA MONICA BOULEVARD</v>
      </c>
      <c r="H99" s="1" t="str">
        <f t="shared" si="31"/>
        <v>SANTA MONICA</v>
      </c>
      <c r="I99" s="1" t="str">
        <f t="shared" si="24"/>
        <v>CA</v>
      </c>
      <c r="J99" s="1" t="str">
        <f t="shared" si="30"/>
        <v>90404</v>
      </c>
      <c r="K99" s="1">
        <v>1992</v>
      </c>
      <c r="L99" s="1">
        <v>960</v>
      </c>
      <c r="M99" s="1">
        <v>96000</v>
      </c>
      <c r="N99" s="1">
        <v>21000</v>
      </c>
      <c r="O99" s="1">
        <f t="shared" si="26"/>
        <v>117000</v>
      </c>
      <c r="P99" s="1">
        <v>0</v>
      </c>
      <c r="Q99" s="11">
        <v>42325</v>
      </c>
    </row>
    <row r="100" spans="1:17" x14ac:dyDescent="0.25">
      <c r="A100" s="8" t="str">
        <f t="shared" si="18"/>
        <v>042</v>
      </c>
      <c r="B100" s="1" t="str">
        <f t="shared" si="19"/>
        <v>SANTA MONICA-MALIBU UNIFIED SCHOOL DISTRICT</v>
      </c>
      <c r="C100" s="1" t="str">
        <f t="shared" si="27"/>
        <v>005</v>
      </c>
      <c r="D100" s="1" t="str">
        <f t="shared" si="28"/>
        <v>MCKINLEY ELEMENTARY SCHOOL</v>
      </c>
      <c r="E100" s="1" t="str">
        <f>"902"</f>
        <v>902</v>
      </c>
      <c r="F100" s="1" t="str">
        <f>"PORTABLE CLASSROOM RM B2"</f>
        <v>PORTABLE CLASSROOM RM B2</v>
      </c>
      <c r="G100" s="1" t="str">
        <f t="shared" si="29"/>
        <v>2401 SANTA MONICA BOULEVARD</v>
      </c>
      <c r="H100" s="1" t="str">
        <f t="shared" si="31"/>
        <v>SANTA MONICA</v>
      </c>
      <c r="I100" s="1" t="str">
        <f t="shared" si="24"/>
        <v>CA</v>
      </c>
      <c r="J100" s="1" t="str">
        <f t="shared" si="30"/>
        <v>90404</v>
      </c>
      <c r="K100" s="1">
        <v>1992</v>
      </c>
      <c r="L100" s="1">
        <v>960</v>
      </c>
      <c r="M100" s="1">
        <v>96000</v>
      </c>
      <c r="N100" s="1">
        <v>21000</v>
      </c>
      <c r="O100" s="1">
        <f t="shared" si="26"/>
        <v>117000</v>
      </c>
      <c r="P100" s="1">
        <v>0</v>
      </c>
      <c r="Q100" s="11">
        <v>42325</v>
      </c>
    </row>
    <row r="101" spans="1:17" x14ac:dyDescent="0.25">
      <c r="A101" s="8" t="str">
        <f t="shared" si="18"/>
        <v>042</v>
      </c>
      <c r="B101" s="1" t="str">
        <f t="shared" si="19"/>
        <v>SANTA MONICA-MALIBU UNIFIED SCHOOL DISTRICT</v>
      </c>
      <c r="C101" s="1" t="str">
        <f t="shared" si="27"/>
        <v>005</v>
      </c>
      <c r="D101" s="1" t="str">
        <f t="shared" si="28"/>
        <v>MCKINLEY ELEMENTARY SCHOOL</v>
      </c>
      <c r="E101" s="1" t="str">
        <f>"903"</f>
        <v>903</v>
      </c>
      <c r="F101" s="1" t="str">
        <f>"PORTABLE CLASSROOM RM B3"</f>
        <v>PORTABLE CLASSROOM RM B3</v>
      </c>
      <c r="G101" s="1" t="str">
        <f t="shared" si="29"/>
        <v>2401 SANTA MONICA BOULEVARD</v>
      </c>
      <c r="H101" s="1" t="str">
        <f t="shared" si="31"/>
        <v>SANTA MONICA</v>
      </c>
      <c r="I101" s="1" t="str">
        <f t="shared" si="24"/>
        <v>CA</v>
      </c>
      <c r="J101" s="1" t="str">
        <f t="shared" si="30"/>
        <v>90404</v>
      </c>
      <c r="K101" s="1">
        <v>1992</v>
      </c>
      <c r="L101" s="1">
        <v>960</v>
      </c>
      <c r="M101" s="1">
        <v>96000</v>
      </c>
      <c r="N101" s="1">
        <v>21000</v>
      </c>
      <c r="O101" s="1">
        <f t="shared" si="26"/>
        <v>117000</v>
      </c>
      <c r="P101" s="1">
        <v>0</v>
      </c>
      <c r="Q101" s="11">
        <v>42325</v>
      </c>
    </row>
    <row r="102" spans="1:17" x14ac:dyDescent="0.25">
      <c r="A102" s="8" t="str">
        <f t="shared" si="18"/>
        <v>042</v>
      </c>
      <c r="B102" s="1" t="str">
        <f t="shared" si="19"/>
        <v>SANTA MONICA-MALIBU UNIFIED SCHOOL DISTRICT</v>
      </c>
      <c r="C102" s="1" t="str">
        <f t="shared" si="27"/>
        <v>005</v>
      </c>
      <c r="D102" s="1" t="str">
        <f t="shared" si="28"/>
        <v>MCKINLEY ELEMENTARY SCHOOL</v>
      </c>
      <c r="E102" s="1" t="str">
        <f>"904"</f>
        <v>904</v>
      </c>
      <c r="F102" s="1" t="str">
        <f>"PORTABLE CLASSROOM RM B4"</f>
        <v>PORTABLE CLASSROOM RM B4</v>
      </c>
      <c r="G102" s="1" t="str">
        <f t="shared" si="29"/>
        <v>2401 SANTA MONICA BOULEVARD</v>
      </c>
      <c r="H102" s="1" t="str">
        <f t="shared" si="31"/>
        <v>SANTA MONICA</v>
      </c>
      <c r="I102" s="1" t="str">
        <f t="shared" si="24"/>
        <v>CA</v>
      </c>
      <c r="J102" s="1" t="str">
        <f t="shared" si="30"/>
        <v>90404</v>
      </c>
      <c r="K102" s="1">
        <v>1992</v>
      </c>
      <c r="L102" s="1">
        <v>960</v>
      </c>
      <c r="M102" s="1">
        <v>96000</v>
      </c>
      <c r="N102" s="1">
        <v>21000</v>
      </c>
      <c r="O102" s="1">
        <f t="shared" si="26"/>
        <v>117000</v>
      </c>
      <c r="P102" s="1">
        <v>0</v>
      </c>
      <c r="Q102" s="11">
        <v>42325</v>
      </c>
    </row>
    <row r="103" spans="1:17" x14ac:dyDescent="0.25">
      <c r="A103" s="8" t="str">
        <f t="shared" si="18"/>
        <v>042</v>
      </c>
      <c r="B103" s="1" t="str">
        <f t="shared" si="19"/>
        <v>SANTA MONICA-MALIBU UNIFIED SCHOOL DISTRICT</v>
      </c>
      <c r="C103" s="1" t="str">
        <f t="shared" si="27"/>
        <v>005</v>
      </c>
      <c r="D103" s="1" t="str">
        <f t="shared" si="28"/>
        <v>MCKINLEY ELEMENTARY SCHOOL</v>
      </c>
      <c r="E103" s="1" t="str">
        <f>"905"</f>
        <v>905</v>
      </c>
      <c r="F103" s="1" t="str">
        <f>"PORTABLE CLASSROOM RM B5"</f>
        <v>PORTABLE CLASSROOM RM B5</v>
      </c>
      <c r="G103" s="1" t="str">
        <f t="shared" si="29"/>
        <v>2401 SANTA MONICA BOULEVARD</v>
      </c>
      <c r="H103" s="1" t="str">
        <f t="shared" si="31"/>
        <v>SANTA MONICA</v>
      </c>
      <c r="I103" s="1" t="str">
        <f t="shared" si="24"/>
        <v>CA</v>
      </c>
      <c r="J103" s="1" t="str">
        <f t="shared" si="30"/>
        <v>90404</v>
      </c>
      <c r="K103" s="1">
        <v>1992</v>
      </c>
      <c r="L103" s="1">
        <v>960</v>
      </c>
      <c r="M103" s="1">
        <v>96000</v>
      </c>
      <c r="N103" s="1">
        <v>21000</v>
      </c>
      <c r="O103" s="1">
        <f t="shared" si="26"/>
        <v>117000</v>
      </c>
      <c r="P103" s="1">
        <v>0</v>
      </c>
      <c r="Q103" s="11">
        <v>42325</v>
      </c>
    </row>
    <row r="104" spans="1:17" x14ac:dyDescent="0.25">
      <c r="A104" s="8" t="str">
        <f t="shared" si="18"/>
        <v>042</v>
      </c>
      <c r="B104" s="1" t="str">
        <f t="shared" si="19"/>
        <v>SANTA MONICA-MALIBU UNIFIED SCHOOL DISTRICT</v>
      </c>
      <c r="C104" s="1" t="str">
        <f t="shared" si="27"/>
        <v>005</v>
      </c>
      <c r="D104" s="1" t="str">
        <f t="shared" si="28"/>
        <v>MCKINLEY ELEMENTARY SCHOOL</v>
      </c>
      <c r="E104" s="1" t="str">
        <f>"906"</f>
        <v>906</v>
      </c>
      <c r="F104" s="1" t="str">
        <f>"PORTABLE CLASSROOM RM B6"</f>
        <v>PORTABLE CLASSROOM RM B6</v>
      </c>
      <c r="G104" s="1" t="str">
        <f t="shared" si="29"/>
        <v>2401 SANTA MONICA BOULEVARD</v>
      </c>
      <c r="H104" s="1" t="str">
        <f t="shared" si="31"/>
        <v>SANTA MONICA</v>
      </c>
      <c r="I104" s="1" t="str">
        <f t="shared" si="24"/>
        <v>CA</v>
      </c>
      <c r="J104" s="1" t="str">
        <f t="shared" si="30"/>
        <v>90404</v>
      </c>
      <c r="K104" s="1">
        <v>1992</v>
      </c>
      <c r="L104" s="1">
        <v>960</v>
      </c>
      <c r="M104" s="1">
        <v>96000</v>
      </c>
      <c r="N104" s="1">
        <v>21000</v>
      </c>
      <c r="O104" s="1">
        <f t="shared" si="26"/>
        <v>117000</v>
      </c>
      <c r="P104" s="1">
        <v>0</v>
      </c>
      <c r="Q104" s="11">
        <v>42325</v>
      </c>
    </row>
    <row r="105" spans="1:17" x14ac:dyDescent="0.25">
      <c r="A105" s="8" t="str">
        <f t="shared" si="18"/>
        <v>042</v>
      </c>
      <c r="B105" s="1" t="str">
        <f t="shared" si="19"/>
        <v>SANTA MONICA-MALIBU UNIFIED SCHOOL DISTRICT</v>
      </c>
      <c r="C105" s="1" t="str">
        <f t="shared" si="27"/>
        <v>005</v>
      </c>
      <c r="D105" s="1" t="str">
        <f t="shared" si="28"/>
        <v>MCKINLEY ELEMENTARY SCHOOL</v>
      </c>
      <c r="E105" s="1" t="str">
        <f>"907"</f>
        <v>907</v>
      </c>
      <c r="F105" s="1" t="str">
        <f>"PORTABLE CLASSROOM RM B7"</f>
        <v>PORTABLE CLASSROOM RM B7</v>
      </c>
      <c r="G105" s="1" t="str">
        <f t="shared" si="29"/>
        <v>2401 SANTA MONICA BOULEVARD</v>
      </c>
      <c r="H105" s="1" t="str">
        <f t="shared" si="31"/>
        <v>SANTA MONICA</v>
      </c>
      <c r="I105" s="1" t="str">
        <f t="shared" si="24"/>
        <v>CA</v>
      </c>
      <c r="J105" s="1" t="str">
        <f t="shared" si="30"/>
        <v>90404</v>
      </c>
      <c r="K105" s="1">
        <v>1992</v>
      </c>
      <c r="L105" s="1">
        <v>960</v>
      </c>
      <c r="M105" s="1">
        <v>96000</v>
      </c>
      <c r="N105" s="1">
        <v>21000</v>
      </c>
      <c r="O105" s="1">
        <f t="shared" si="26"/>
        <v>117000</v>
      </c>
      <c r="P105" s="1">
        <v>0</v>
      </c>
      <c r="Q105" s="11">
        <v>42325</v>
      </c>
    </row>
    <row r="106" spans="1:17" x14ac:dyDescent="0.25">
      <c r="A106" s="8" t="str">
        <f t="shared" si="18"/>
        <v>042</v>
      </c>
      <c r="B106" s="1" t="str">
        <f t="shared" si="19"/>
        <v>SANTA MONICA-MALIBU UNIFIED SCHOOL DISTRICT</v>
      </c>
      <c r="C106" s="1" t="str">
        <f t="shared" si="27"/>
        <v>005</v>
      </c>
      <c r="D106" s="1" t="str">
        <f t="shared" si="28"/>
        <v>MCKINLEY ELEMENTARY SCHOOL</v>
      </c>
      <c r="E106" s="1" t="str">
        <f>"908"</f>
        <v>908</v>
      </c>
      <c r="F106" s="1" t="str">
        <f>"PORTABLE CLASSROOM RM B8"</f>
        <v>PORTABLE CLASSROOM RM B8</v>
      </c>
      <c r="G106" s="1" t="str">
        <f t="shared" si="29"/>
        <v>2401 SANTA MONICA BOULEVARD</v>
      </c>
      <c r="H106" s="1" t="str">
        <f t="shared" si="31"/>
        <v>SANTA MONICA</v>
      </c>
      <c r="I106" s="1" t="str">
        <f t="shared" si="24"/>
        <v>CA</v>
      </c>
      <c r="J106" s="1" t="str">
        <f t="shared" si="30"/>
        <v>90404</v>
      </c>
      <c r="K106" s="1">
        <v>1992</v>
      </c>
      <c r="L106" s="1">
        <v>960</v>
      </c>
      <c r="M106" s="1">
        <v>96000</v>
      </c>
      <c r="N106" s="1">
        <v>21000</v>
      </c>
      <c r="O106" s="1">
        <f t="shared" si="26"/>
        <v>117000</v>
      </c>
      <c r="P106" s="1">
        <v>0</v>
      </c>
      <c r="Q106" s="11">
        <v>42325</v>
      </c>
    </row>
    <row r="107" spans="1:17" x14ac:dyDescent="0.25">
      <c r="A107" s="8" t="str">
        <f t="shared" si="18"/>
        <v>042</v>
      </c>
      <c r="B107" s="1" t="str">
        <f t="shared" si="19"/>
        <v>SANTA MONICA-MALIBU UNIFIED SCHOOL DISTRICT</v>
      </c>
      <c r="C107" s="1" t="str">
        <f t="shared" si="27"/>
        <v>005</v>
      </c>
      <c r="D107" s="1" t="str">
        <f t="shared" si="28"/>
        <v>MCKINLEY ELEMENTARY SCHOOL</v>
      </c>
      <c r="E107" s="1" t="str">
        <f>"909"</f>
        <v>909</v>
      </c>
      <c r="F107" s="1" t="str">
        <f>"PORTABLE CLASSROOM RM B9"</f>
        <v>PORTABLE CLASSROOM RM B9</v>
      </c>
      <c r="G107" s="1" t="str">
        <f t="shared" si="29"/>
        <v>2401 SANTA MONICA BOULEVARD</v>
      </c>
      <c r="H107" s="1" t="str">
        <f t="shared" si="31"/>
        <v>SANTA MONICA</v>
      </c>
      <c r="I107" s="1" t="str">
        <f t="shared" si="24"/>
        <v>CA</v>
      </c>
      <c r="J107" s="1" t="str">
        <f t="shared" si="30"/>
        <v>90404</v>
      </c>
      <c r="K107" s="1">
        <v>1992</v>
      </c>
      <c r="L107" s="1">
        <v>960</v>
      </c>
      <c r="M107" s="1">
        <v>96000</v>
      </c>
      <c r="N107" s="1">
        <v>21000</v>
      </c>
      <c r="O107" s="1">
        <f t="shared" si="26"/>
        <v>117000</v>
      </c>
      <c r="P107" s="1">
        <v>0</v>
      </c>
      <c r="Q107" s="11">
        <v>42325</v>
      </c>
    </row>
    <row r="108" spans="1:17" x14ac:dyDescent="0.25">
      <c r="A108" s="8" t="str">
        <f t="shared" si="18"/>
        <v>042</v>
      </c>
      <c r="B108" s="1" t="str">
        <f t="shared" si="19"/>
        <v>SANTA MONICA-MALIBU UNIFIED SCHOOL DISTRICT</v>
      </c>
      <c r="C108" s="1" t="str">
        <f t="shared" ref="C108:C114" si="32">"002"</f>
        <v>002</v>
      </c>
      <c r="D108" s="1" t="str">
        <f t="shared" ref="D108:D114" si="33">"EDISON ELEMENTARY SCHOOL"</f>
        <v>EDISON ELEMENTARY SCHOOL</v>
      </c>
      <c r="E108" s="1" t="str">
        <f>"001"</f>
        <v>001</v>
      </c>
      <c r="F108" s="1" t="str">
        <f>"ADMINISTRATION/CLASSROOM BUILDING RMS 100-205"</f>
        <v>ADMINISTRATION/CLASSROOM BUILDING RMS 100-205</v>
      </c>
      <c r="G108" s="1" t="str">
        <f t="shared" ref="G108:G114" si="34">"2402 VIRGINA AVE"</f>
        <v>2402 VIRGINA AVE</v>
      </c>
      <c r="H108" s="1" t="str">
        <f t="shared" si="31"/>
        <v>SANTA MONICA</v>
      </c>
      <c r="I108" s="1" t="str">
        <f t="shared" si="24"/>
        <v>CA</v>
      </c>
      <c r="J108" s="1" t="str">
        <f t="shared" si="30"/>
        <v>90404</v>
      </c>
      <c r="K108" s="1">
        <v>2012</v>
      </c>
      <c r="L108" s="1">
        <v>19955</v>
      </c>
      <c r="M108" s="1">
        <v>6544000</v>
      </c>
      <c r="N108" s="1">
        <v>604000</v>
      </c>
      <c r="O108" s="1">
        <f t="shared" si="26"/>
        <v>7148000</v>
      </c>
      <c r="P108" s="1">
        <v>0</v>
      </c>
      <c r="Q108" s="11">
        <v>42324</v>
      </c>
    </row>
    <row r="109" spans="1:17" x14ac:dyDescent="0.25">
      <c r="A109" s="8" t="str">
        <f t="shared" si="18"/>
        <v>042</v>
      </c>
      <c r="B109" s="1" t="str">
        <f t="shared" si="19"/>
        <v>SANTA MONICA-MALIBU UNIFIED SCHOOL DISTRICT</v>
      </c>
      <c r="C109" s="1" t="str">
        <f t="shared" si="32"/>
        <v>002</v>
      </c>
      <c r="D109" s="1" t="str">
        <f t="shared" si="33"/>
        <v>EDISON ELEMENTARY SCHOOL</v>
      </c>
      <c r="E109" s="1" t="str">
        <f>"004"</f>
        <v>004</v>
      </c>
      <c r="F109" s="1" t="str">
        <f>"CLASSROOM BUILDING RMS 303-307"</f>
        <v>CLASSROOM BUILDING RMS 303-307</v>
      </c>
      <c r="G109" s="1" t="str">
        <f t="shared" si="34"/>
        <v>2402 VIRGINA AVE</v>
      </c>
      <c r="H109" s="1" t="str">
        <f t="shared" si="31"/>
        <v>SANTA MONICA</v>
      </c>
      <c r="I109" s="1" t="str">
        <f t="shared" si="24"/>
        <v>CA</v>
      </c>
      <c r="J109" s="1" t="str">
        <f t="shared" si="30"/>
        <v>90404</v>
      </c>
      <c r="K109" s="1">
        <v>2012</v>
      </c>
      <c r="L109" s="1">
        <v>1870</v>
      </c>
      <c r="M109" s="1">
        <v>634000</v>
      </c>
      <c r="N109" s="1">
        <v>57000</v>
      </c>
      <c r="O109" s="1">
        <f t="shared" si="26"/>
        <v>691000</v>
      </c>
      <c r="P109" s="1">
        <v>0</v>
      </c>
      <c r="Q109" s="11">
        <v>42324</v>
      </c>
    </row>
    <row r="110" spans="1:17" x14ac:dyDescent="0.25">
      <c r="A110" s="8" t="str">
        <f t="shared" si="18"/>
        <v>042</v>
      </c>
      <c r="B110" s="1" t="str">
        <f t="shared" si="19"/>
        <v>SANTA MONICA-MALIBU UNIFIED SCHOOL DISTRICT</v>
      </c>
      <c r="C110" s="1" t="str">
        <f t="shared" si="32"/>
        <v>002</v>
      </c>
      <c r="D110" s="1" t="str">
        <f t="shared" si="33"/>
        <v>EDISON ELEMENTARY SCHOOL</v>
      </c>
      <c r="E110" s="1" t="str">
        <f>"002"</f>
        <v>002</v>
      </c>
      <c r="F110" s="1" t="str">
        <f>"LIBRARY/MPR/CLASSROOM RMS 308-413"</f>
        <v>LIBRARY/MPR/CLASSROOM RMS 308-413</v>
      </c>
      <c r="G110" s="1" t="str">
        <f t="shared" si="34"/>
        <v>2402 VIRGINA AVE</v>
      </c>
      <c r="H110" s="1" t="str">
        <f t="shared" si="31"/>
        <v>SANTA MONICA</v>
      </c>
      <c r="I110" s="1" t="str">
        <f t="shared" si="24"/>
        <v>CA</v>
      </c>
      <c r="J110" s="1" t="str">
        <f t="shared" si="30"/>
        <v>90404</v>
      </c>
      <c r="K110" s="1">
        <v>2012</v>
      </c>
      <c r="L110" s="1">
        <v>16378</v>
      </c>
      <c r="M110" s="1">
        <v>5564000</v>
      </c>
      <c r="N110" s="1">
        <v>706000</v>
      </c>
      <c r="O110" s="1">
        <f t="shared" si="26"/>
        <v>6270000</v>
      </c>
      <c r="P110" s="1">
        <v>0</v>
      </c>
      <c r="Q110" s="11">
        <v>42324</v>
      </c>
    </row>
    <row r="111" spans="1:17" x14ac:dyDescent="0.25">
      <c r="A111" s="8" t="str">
        <f t="shared" si="18"/>
        <v>042</v>
      </c>
      <c r="B111" s="1" t="str">
        <f t="shared" si="19"/>
        <v>SANTA MONICA-MALIBU UNIFIED SCHOOL DISTRICT</v>
      </c>
      <c r="C111" s="1" t="str">
        <f t="shared" si="32"/>
        <v>002</v>
      </c>
      <c r="D111" s="1" t="str">
        <f t="shared" si="33"/>
        <v>EDISON ELEMENTARY SCHOOL</v>
      </c>
      <c r="E111" s="1" t="str">
        <f>"003"</f>
        <v>003</v>
      </c>
      <c r="F111" s="1" t="str">
        <f>"CLASSROOM BUILDING RMS 108-211"</f>
        <v>CLASSROOM BUILDING RMS 108-211</v>
      </c>
      <c r="G111" s="1" t="str">
        <f t="shared" si="34"/>
        <v>2402 VIRGINA AVE</v>
      </c>
      <c r="H111" s="1" t="str">
        <f t="shared" si="31"/>
        <v>SANTA MONICA</v>
      </c>
      <c r="I111" s="1" t="str">
        <f t="shared" si="24"/>
        <v>CA</v>
      </c>
      <c r="J111" s="1" t="str">
        <f t="shared" si="30"/>
        <v>90404</v>
      </c>
      <c r="K111" s="1">
        <v>2012</v>
      </c>
      <c r="L111" s="1">
        <v>16593</v>
      </c>
      <c r="M111" s="1">
        <v>5007000</v>
      </c>
      <c r="N111" s="1">
        <v>502000</v>
      </c>
      <c r="O111" s="1">
        <f t="shared" si="26"/>
        <v>5509000</v>
      </c>
      <c r="P111" s="1">
        <v>0</v>
      </c>
      <c r="Q111" s="11">
        <v>42324</v>
      </c>
    </row>
    <row r="112" spans="1:17" x14ac:dyDescent="0.25">
      <c r="A112" s="8" t="str">
        <f t="shared" si="18"/>
        <v>042</v>
      </c>
      <c r="B112" s="1" t="str">
        <f t="shared" si="19"/>
        <v>SANTA MONICA-MALIBU UNIFIED SCHOOL DISTRICT</v>
      </c>
      <c r="C112" s="1" t="str">
        <f t="shared" si="32"/>
        <v>002</v>
      </c>
      <c r="D112" s="1" t="str">
        <f t="shared" si="33"/>
        <v>EDISON ELEMENTARY SCHOOL</v>
      </c>
      <c r="E112" s="1" t="str">
        <f>"005"</f>
        <v>005</v>
      </c>
      <c r="F112" s="1" t="str">
        <f>"RESTROOM BUILDING"</f>
        <v>RESTROOM BUILDING</v>
      </c>
      <c r="G112" s="1" t="str">
        <f t="shared" si="34"/>
        <v>2402 VIRGINA AVE</v>
      </c>
      <c r="H112" s="1" t="str">
        <f t="shared" si="31"/>
        <v>SANTA MONICA</v>
      </c>
      <c r="I112" s="1" t="str">
        <f t="shared" si="24"/>
        <v>CA</v>
      </c>
      <c r="J112" s="1" t="str">
        <f t="shared" si="30"/>
        <v>90404</v>
      </c>
      <c r="K112" s="1">
        <v>2012</v>
      </c>
      <c r="L112" s="1">
        <v>669</v>
      </c>
      <c r="M112" s="1">
        <v>174000</v>
      </c>
      <c r="N112" s="1">
        <v>3000</v>
      </c>
      <c r="O112" s="1">
        <f t="shared" si="26"/>
        <v>177000</v>
      </c>
      <c r="P112" s="1">
        <v>0</v>
      </c>
      <c r="Q112" s="11">
        <v>42324</v>
      </c>
    </row>
    <row r="113" spans="1:17" x14ac:dyDescent="0.25">
      <c r="A113" s="8" t="str">
        <f t="shared" si="18"/>
        <v>042</v>
      </c>
      <c r="B113" s="1" t="str">
        <f t="shared" si="19"/>
        <v>SANTA MONICA-MALIBU UNIFIED SCHOOL DISTRICT</v>
      </c>
      <c r="C113" s="1" t="str">
        <f t="shared" si="32"/>
        <v>002</v>
      </c>
      <c r="D113" s="1" t="str">
        <f t="shared" si="33"/>
        <v>EDISON ELEMENTARY SCHOOL</v>
      </c>
      <c r="E113" s="1" t="str">
        <f>"006"</f>
        <v>006</v>
      </c>
      <c r="F113" s="1" t="str">
        <f>"STORAGE 3"</f>
        <v>STORAGE 3</v>
      </c>
      <c r="G113" s="1" t="str">
        <f t="shared" si="34"/>
        <v>2402 VIRGINA AVE</v>
      </c>
      <c r="H113" s="1" t="str">
        <f t="shared" si="31"/>
        <v>SANTA MONICA</v>
      </c>
      <c r="I113" s="1" t="str">
        <f t="shared" si="24"/>
        <v>CA</v>
      </c>
      <c r="J113" s="1" t="str">
        <f t="shared" si="30"/>
        <v>90404</v>
      </c>
      <c r="K113" s="1">
        <v>2012</v>
      </c>
      <c r="L113" s="1">
        <v>565</v>
      </c>
      <c r="M113" s="1">
        <v>119000</v>
      </c>
      <c r="N113" s="1">
        <v>16000</v>
      </c>
      <c r="O113" s="1">
        <f t="shared" si="26"/>
        <v>135000</v>
      </c>
      <c r="P113" s="1">
        <v>0</v>
      </c>
      <c r="Q113" s="11">
        <v>42324</v>
      </c>
    </row>
    <row r="114" spans="1:17" x14ac:dyDescent="0.25">
      <c r="A114" s="8" t="str">
        <f t="shared" si="18"/>
        <v>042</v>
      </c>
      <c r="B114" s="1" t="str">
        <f t="shared" si="19"/>
        <v>SANTA MONICA-MALIBU UNIFIED SCHOOL DISTRICT</v>
      </c>
      <c r="C114" s="1" t="str">
        <f t="shared" si="32"/>
        <v>002</v>
      </c>
      <c r="D114" s="1" t="str">
        <f t="shared" si="33"/>
        <v>EDISON ELEMENTARY SCHOOL</v>
      </c>
      <c r="E114" s="1" t="str">
        <f>"007"</f>
        <v>007</v>
      </c>
      <c r="F114" s="1" t="str">
        <f>"STORAGE 4"</f>
        <v>STORAGE 4</v>
      </c>
      <c r="G114" s="1" t="str">
        <f t="shared" si="34"/>
        <v>2402 VIRGINA AVE</v>
      </c>
      <c r="H114" s="1" t="str">
        <f t="shared" si="31"/>
        <v>SANTA MONICA</v>
      </c>
      <c r="I114" s="1" t="str">
        <f t="shared" si="24"/>
        <v>CA</v>
      </c>
      <c r="J114" s="1" t="str">
        <f t="shared" si="30"/>
        <v>90404</v>
      </c>
      <c r="K114" s="1">
        <v>2012</v>
      </c>
      <c r="L114" s="1">
        <v>225</v>
      </c>
      <c r="M114" s="1">
        <v>52000</v>
      </c>
      <c r="N114" s="1">
        <v>6000</v>
      </c>
      <c r="O114" s="1">
        <f t="shared" si="26"/>
        <v>58000</v>
      </c>
      <c r="P114" s="1">
        <v>0</v>
      </c>
      <c r="Q114" s="11">
        <v>42324</v>
      </c>
    </row>
    <row r="115" spans="1:17" x14ac:dyDescent="0.25">
      <c r="A115" s="8" t="str">
        <f t="shared" si="18"/>
        <v>042</v>
      </c>
      <c r="B115" s="1" t="str">
        <f t="shared" si="19"/>
        <v>SANTA MONICA-MALIBU UNIFIED SCHOOL DISTRICT</v>
      </c>
      <c r="C115" s="1" t="str">
        <f t="shared" ref="C115:C134" si="35">"010"</f>
        <v>010</v>
      </c>
      <c r="D115" s="1" t="str">
        <f t="shared" ref="D115:D134" si="36">"JOHN ADAMS MIDDLE SCHOOL"</f>
        <v>JOHN ADAMS MIDDLE SCHOOL</v>
      </c>
      <c r="E115" s="1" t="str">
        <f>"001"</f>
        <v>001</v>
      </c>
      <c r="F115" s="1" t="str">
        <f>"ADMINISTRATION/CLASSROOM BUILDING"</f>
        <v>ADMINISTRATION/CLASSROOM BUILDING</v>
      </c>
      <c r="G115" s="1" t="str">
        <f>"2425 16TH STREET"</f>
        <v>2425 16TH STREET</v>
      </c>
      <c r="H115" s="1" t="str">
        <f t="shared" si="31"/>
        <v>SANTA MONICA</v>
      </c>
      <c r="I115" s="1" t="str">
        <f t="shared" si="24"/>
        <v>CA</v>
      </c>
      <c r="J115" s="1" t="str">
        <f t="shared" ref="J115:J151" si="37">"90405"</f>
        <v>90405</v>
      </c>
      <c r="K115" s="1">
        <v>1935</v>
      </c>
      <c r="L115" s="1">
        <v>8238</v>
      </c>
      <c r="M115" s="1">
        <v>2214000</v>
      </c>
      <c r="N115" s="1">
        <v>172000</v>
      </c>
      <c r="O115" s="1">
        <f t="shared" si="26"/>
        <v>2386000</v>
      </c>
      <c r="P115" s="1">
        <v>0</v>
      </c>
      <c r="Q115" s="11">
        <v>42326</v>
      </c>
    </row>
    <row r="116" spans="1:17" x14ac:dyDescent="0.25">
      <c r="A116" s="8" t="str">
        <f t="shared" si="18"/>
        <v>042</v>
      </c>
      <c r="B116" s="1" t="str">
        <f t="shared" si="19"/>
        <v>SANTA MONICA-MALIBU UNIFIED SCHOOL DISTRICT</v>
      </c>
      <c r="C116" s="1" t="str">
        <f t="shared" si="35"/>
        <v>010</v>
      </c>
      <c r="D116" s="1" t="str">
        <f t="shared" si="36"/>
        <v>JOHN ADAMS MIDDLE SCHOOL</v>
      </c>
      <c r="E116" s="1" t="str">
        <f>"002"</f>
        <v>002</v>
      </c>
      <c r="F116" s="1" t="str">
        <f>"CAFETERIA BUILDING"</f>
        <v>CAFETERIA BUILDING</v>
      </c>
      <c r="G116" s="1" t="str">
        <f>"2426 16TH STREET"</f>
        <v>2426 16TH STREET</v>
      </c>
      <c r="H116" s="1" t="str">
        <f t="shared" si="31"/>
        <v>SANTA MONICA</v>
      </c>
      <c r="I116" s="1" t="str">
        <f t="shared" si="24"/>
        <v>CA</v>
      </c>
      <c r="J116" s="1" t="str">
        <f t="shared" si="37"/>
        <v>90405</v>
      </c>
      <c r="K116" s="1">
        <v>1936</v>
      </c>
      <c r="L116" s="1">
        <v>9781</v>
      </c>
      <c r="M116" s="1">
        <v>2316000</v>
      </c>
      <c r="N116" s="1">
        <v>307000</v>
      </c>
      <c r="O116" s="1">
        <f t="shared" si="26"/>
        <v>2623000</v>
      </c>
      <c r="P116" s="1">
        <v>0</v>
      </c>
      <c r="Q116" s="11">
        <v>42326</v>
      </c>
    </row>
    <row r="117" spans="1:17" x14ac:dyDescent="0.25">
      <c r="A117" s="8" t="str">
        <f t="shared" si="18"/>
        <v>042</v>
      </c>
      <c r="B117" s="1" t="str">
        <f t="shared" si="19"/>
        <v>SANTA MONICA-MALIBU UNIFIED SCHOOL DISTRICT</v>
      </c>
      <c r="C117" s="1" t="str">
        <f t="shared" si="35"/>
        <v>010</v>
      </c>
      <c r="D117" s="1" t="str">
        <f t="shared" si="36"/>
        <v>JOHN ADAMS MIDDLE SCHOOL</v>
      </c>
      <c r="E117" s="1" t="str">
        <f>"004"</f>
        <v>004</v>
      </c>
      <c r="F117" s="1" t="str">
        <f>"GYMNASIUM BUILDING"</f>
        <v>GYMNASIUM BUILDING</v>
      </c>
      <c r="G117" s="1" t="str">
        <f>"2426 16TH STREET"</f>
        <v>2426 16TH STREET</v>
      </c>
      <c r="H117" s="1" t="str">
        <f t="shared" si="31"/>
        <v>SANTA MONICA</v>
      </c>
      <c r="I117" s="1" t="str">
        <f t="shared" si="24"/>
        <v>CA</v>
      </c>
      <c r="J117" s="1" t="str">
        <f t="shared" si="37"/>
        <v>90405</v>
      </c>
      <c r="K117" s="1">
        <v>1948</v>
      </c>
      <c r="L117" s="1">
        <v>22561</v>
      </c>
      <c r="M117" s="1">
        <v>5764000</v>
      </c>
      <c r="N117" s="1">
        <v>202000</v>
      </c>
      <c r="O117" s="1">
        <f t="shared" si="26"/>
        <v>5966000</v>
      </c>
      <c r="P117" s="1">
        <v>0</v>
      </c>
      <c r="Q117" s="11">
        <v>42326</v>
      </c>
    </row>
    <row r="118" spans="1:17" x14ac:dyDescent="0.25">
      <c r="A118" s="8" t="str">
        <f t="shared" si="18"/>
        <v>042</v>
      </c>
      <c r="B118" s="1" t="str">
        <f t="shared" si="19"/>
        <v>SANTA MONICA-MALIBU UNIFIED SCHOOL DISTRICT</v>
      </c>
      <c r="C118" s="1" t="str">
        <f t="shared" si="35"/>
        <v>010</v>
      </c>
      <c r="D118" s="1" t="str">
        <f t="shared" si="36"/>
        <v>JOHN ADAMS MIDDLE SCHOOL</v>
      </c>
      <c r="E118" s="1" t="str">
        <f>"005"</f>
        <v>005</v>
      </c>
      <c r="F118" s="1" t="str">
        <f>"CLASSROOM BUILDING RMS 10-13"</f>
        <v>CLASSROOM BUILDING RMS 10-13</v>
      </c>
      <c r="G118" s="1" t="str">
        <f>"2429 16TH STREET"</f>
        <v>2429 16TH STREET</v>
      </c>
      <c r="H118" s="1" t="str">
        <f t="shared" si="31"/>
        <v>SANTA MONICA</v>
      </c>
      <c r="I118" s="1" t="str">
        <f t="shared" si="24"/>
        <v>CA</v>
      </c>
      <c r="J118" s="1" t="str">
        <f t="shared" si="37"/>
        <v>90405</v>
      </c>
      <c r="K118" s="1">
        <v>1935</v>
      </c>
      <c r="L118" s="1">
        <v>4050</v>
      </c>
      <c r="M118" s="1">
        <v>1112000</v>
      </c>
      <c r="N118" s="1">
        <v>85000</v>
      </c>
      <c r="O118" s="1">
        <f t="shared" si="26"/>
        <v>1197000</v>
      </c>
      <c r="P118" s="1">
        <v>0</v>
      </c>
      <c r="Q118" s="11">
        <v>42326</v>
      </c>
    </row>
    <row r="119" spans="1:17" x14ac:dyDescent="0.25">
      <c r="A119" s="8" t="str">
        <f t="shared" si="18"/>
        <v>042</v>
      </c>
      <c r="B119" s="1" t="str">
        <f t="shared" si="19"/>
        <v>SANTA MONICA-MALIBU UNIFIED SCHOOL DISTRICT</v>
      </c>
      <c r="C119" s="1" t="str">
        <f t="shared" si="35"/>
        <v>010</v>
      </c>
      <c r="D119" s="1" t="str">
        <f t="shared" si="36"/>
        <v>JOHN ADAMS MIDDLE SCHOOL</v>
      </c>
      <c r="E119" s="1" t="str">
        <f>"006"</f>
        <v>006</v>
      </c>
      <c r="F119" s="1" t="str">
        <f>"CLASSROOM BUILDING RMS 16-18"</f>
        <v>CLASSROOM BUILDING RMS 16-18</v>
      </c>
      <c r="G119" s="1" t="str">
        <f>"2430 16TH STREET"</f>
        <v>2430 16TH STREET</v>
      </c>
      <c r="H119" s="1" t="str">
        <f t="shared" si="31"/>
        <v>SANTA MONICA</v>
      </c>
      <c r="I119" s="1" t="str">
        <f t="shared" si="24"/>
        <v>CA</v>
      </c>
      <c r="J119" s="1" t="str">
        <f t="shared" si="37"/>
        <v>90405</v>
      </c>
      <c r="K119" s="1">
        <v>1958</v>
      </c>
      <c r="L119" s="1">
        <v>2940</v>
      </c>
      <c r="M119" s="1">
        <v>792000</v>
      </c>
      <c r="N119" s="1">
        <v>61000</v>
      </c>
      <c r="O119" s="1">
        <f t="shared" si="26"/>
        <v>853000</v>
      </c>
      <c r="P119" s="1">
        <v>0</v>
      </c>
      <c r="Q119" s="11">
        <v>42326</v>
      </c>
    </row>
    <row r="120" spans="1:17" x14ac:dyDescent="0.25">
      <c r="A120" s="8" t="str">
        <f t="shared" si="18"/>
        <v>042</v>
      </c>
      <c r="B120" s="1" t="str">
        <f t="shared" si="19"/>
        <v>SANTA MONICA-MALIBU UNIFIED SCHOOL DISTRICT</v>
      </c>
      <c r="C120" s="1" t="str">
        <f t="shared" si="35"/>
        <v>010</v>
      </c>
      <c r="D120" s="1" t="str">
        <f t="shared" si="36"/>
        <v>JOHN ADAMS MIDDLE SCHOOL</v>
      </c>
      <c r="E120" s="1" t="str">
        <f>"007"</f>
        <v>007</v>
      </c>
      <c r="F120" s="1" t="str">
        <f>"ADMINISTRATION/CLASSROOM BUILDING"</f>
        <v>ADMINISTRATION/CLASSROOM BUILDING</v>
      </c>
      <c r="G120" s="1" t="str">
        <f>"2431 16TH STREET"</f>
        <v>2431 16TH STREET</v>
      </c>
      <c r="H120" s="1" t="str">
        <f t="shared" si="31"/>
        <v>SANTA MONICA</v>
      </c>
      <c r="I120" s="1" t="str">
        <f t="shared" si="24"/>
        <v>CA</v>
      </c>
      <c r="J120" s="1" t="str">
        <f t="shared" si="37"/>
        <v>90405</v>
      </c>
      <c r="K120" s="1">
        <v>1935</v>
      </c>
      <c r="L120" s="1">
        <v>7901</v>
      </c>
      <c r="M120" s="1">
        <v>2136000</v>
      </c>
      <c r="N120" s="1">
        <v>165000</v>
      </c>
      <c r="O120" s="1">
        <f t="shared" si="26"/>
        <v>2301000</v>
      </c>
      <c r="P120" s="1">
        <v>0</v>
      </c>
      <c r="Q120" s="11">
        <v>42326</v>
      </c>
    </row>
    <row r="121" spans="1:17" x14ac:dyDescent="0.25">
      <c r="A121" s="8" t="str">
        <f t="shared" si="18"/>
        <v>042</v>
      </c>
      <c r="B121" s="1" t="str">
        <f t="shared" si="19"/>
        <v>SANTA MONICA-MALIBU UNIFIED SCHOOL DISTRICT</v>
      </c>
      <c r="C121" s="1" t="str">
        <f t="shared" si="35"/>
        <v>010</v>
      </c>
      <c r="D121" s="1" t="str">
        <f t="shared" si="36"/>
        <v>JOHN ADAMS MIDDLE SCHOOL</v>
      </c>
      <c r="E121" s="1" t="str">
        <f>"008"</f>
        <v>008</v>
      </c>
      <c r="F121" s="1" t="str">
        <f>"CLASSROOM BUILDING RMS 22, 24"</f>
        <v>CLASSROOM BUILDING RMS 22, 24</v>
      </c>
      <c r="G121" s="1" t="str">
        <f>"2432 16TH STREET"</f>
        <v>2432 16TH STREET</v>
      </c>
      <c r="H121" s="1" t="str">
        <f t="shared" si="31"/>
        <v>SANTA MONICA</v>
      </c>
      <c r="I121" s="1" t="str">
        <f t="shared" si="24"/>
        <v>CA</v>
      </c>
      <c r="J121" s="1" t="str">
        <f t="shared" si="37"/>
        <v>90405</v>
      </c>
      <c r="K121" s="1">
        <v>1935</v>
      </c>
      <c r="L121" s="1">
        <v>2325</v>
      </c>
      <c r="M121" s="1">
        <v>647000</v>
      </c>
      <c r="N121" s="1">
        <v>49000</v>
      </c>
      <c r="O121" s="1">
        <f t="shared" si="26"/>
        <v>696000</v>
      </c>
      <c r="P121" s="1">
        <v>0</v>
      </c>
      <c r="Q121" s="11">
        <v>42326</v>
      </c>
    </row>
    <row r="122" spans="1:17" x14ac:dyDescent="0.25">
      <c r="A122" s="8" t="str">
        <f t="shared" si="18"/>
        <v>042</v>
      </c>
      <c r="B122" s="1" t="str">
        <f t="shared" si="19"/>
        <v>SANTA MONICA-MALIBU UNIFIED SCHOOL DISTRICT</v>
      </c>
      <c r="C122" s="1" t="str">
        <f t="shared" si="35"/>
        <v>010</v>
      </c>
      <c r="D122" s="1" t="str">
        <f t="shared" si="36"/>
        <v>JOHN ADAMS MIDDLE SCHOOL</v>
      </c>
      <c r="E122" s="1" t="str">
        <f>"009"</f>
        <v>009</v>
      </c>
      <c r="F122" s="1" t="str">
        <f>"MUSIC BUILDING RMS 26-27"</f>
        <v>MUSIC BUILDING RMS 26-27</v>
      </c>
      <c r="G122" s="1" t="str">
        <f>"2433 16TH STREET"</f>
        <v>2433 16TH STREET</v>
      </c>
      <c r="H122" s="1" t="str">
        <f t="shared" si="31"/>
        <v>SANTA MONICA</v>
      </c>
      <c r="I122" s="1" t="str">
        <f t="shared" si="24"/>
        <v>CA</v>
      </c>
      <c r="J122" s="1" t="str">
        <f t="shared" si="37"/>
        <v>90405</v>
      </c>
      <c r="K122" s="1">
        <v>1968</v>
      </c>
      <c r="L122" s="1">
        <v>5724</v>
      </c>
      <c r="M122" s="1">
        <v>1594000</v>
      </c>
      <c r="N122" s="1">
        <v>220000</v>
      </c>
      <c r="O122" s="1">
        <f t="shared" si="26"/>
        <v>1814000</v>
      </c>
      <c r="P122" s="1">
        <v>0</v>
      </c>
      <c r="Q122" s="11">
        <v>42326</v>
      </c>
    </row>
    <row r="123" spans="1:17" x14ac:dyDescent="0.25">
      <c r="A123" s="8" t="str">
        <f t="shared" si="18"/>
        <v>042</v>
      </c>
      <c r="B123" s="1" t="str">
        <f t="shared" si="19"/>
        <v>SANTA MONICA-MALIBU UNIFIED SCHOOL DISTRICT</v>
      </c>
      <c r="C123" s="1" t="str">
        <f t="shared" si="35"/>
        <v>010</v>
      </c>
      <c r="D123" s="1" t="str">
        <f t="shared" si="36"/>
        <v>JOHN ADAMS MIDDLE SCHOOL</v>
      </c>
      <c r="E123" s="1" t="str">
        <f>"010"</f>
        <v>010</v>
      </c>
      <c r="F123" s="1" t="str">
        <f>"LIBRARY/CLASSROOM BUILDING"</f>
        <v>LIBRARY/CLASSROOM BUILDING</v>
      </c>
      <c r="G123" s="1" t="str">
        <f>"2434 16TH STREET"</f>
        <v>2434 16TH STREET</v>
      </c>
      <c r="H123" s="1" t="str">
        <f t="shared" si="31"/>
        <v>SANTA MONICA</v>
      </c>
      <c r="I123" s="1" t="str">
        <f t="shared" si="24"/>
        <v>CA</v>
      </c>
      <c r="J123" s="1" t="str">
        <f t="shared" si="37"/>
        <v>90405</v>
      </c>
      <c r="K123" s="1">
        <v>1935</v>
      </c>
      <c r="L123" s="1">
        <v>8181</v>
      </c>
      <c r="M123" s="1">
        <v>2197000</v>
      </c>
      <c r="N123" s="1">
        <v>736000</v>
      </c>
      <c r="O123" s="1">
        <f t="shared" si="26"/>
        <v>2933000</v>
      </c>
      <c r="P123" s="1">
        <v>0</v>
      </c>
      <c r="Q123" s="11">
        <v>42326</v>
      </c>
    </row>
    <row r="124" spans="1:17" x14ac:dyDescent="0.25">
      <c r="A124" s="8" t="str">
        <f t="shared" si="18"/>
        <v>042</v>
      </c>
      <c r="B124" s="1" t="str">
        <f t="shared" si="19"/>
        <v>SANTA MONICA-MALIBU UNIFIED SCHOOL DISTRICT</v>
      </c>
      <c r="C124" s="1" t="str">
        <f t="shared" si="35"/>
        <v>010</v>
      </c>
      <c r="D124" s="1" t="str">
        <f t="shared" si="36"/>
        <v>JOHN ADAMS MIDDLE SCHOOL</v>
      </c>
      <c r="E124" s="1" t="str">
        <f>"011"</f>
        <v>011</v>
      </c>
      <c r="F124" s="1" t="str">
        <f>"CLASSROOM BUILDING RM 47"</f>
        <v>CLASSROOM BUILDING RM 47</v>
      </c>
      <c r="G124" s="1" t="str">
        <f>"2435 16TH STREET"</f>
        <v>2435 16TH STREET</v>
      </c>
      <c r="H124" s="1" t="str">
        <f t="shared" si="31"/>
        <v>SANTA MONICA</v>
      </c>
      <c r="I124" s="1" t="str">
        <f t="shared" si="24"/>
        <v>CA</v>
      </c>
      <c r="J124" s="1" t="str">
        <f t="shared" si="37"/>
        <v>90405</v>
      </c>
      <c r="K124" s="1">
        <v>1935</v>
      </c>
      <c r="L124" s="1">
        <v>1555</v>
      </c>
      <c r="M124" s="1">
        <v>442000</v>
      </c>
      <c r="N124" s="1">
        <v>32000</v>
      </c>
      <c r="O124" s="1">
        <f t="shared" si="26"/>
        <v>474000</v>
      </c>
      <c r="P124" s="1">
        <v>0</v>
      </c>
      <c r="Q124" s="11">
        <v>42326</v>
      </c>
    </row>
    <row r="125" spans="1:17" x14ac:dyDescent="0.25">
      <c r="A125" s="8" t="str">
        <f t="shared" si="18"/>
        <v>042</v>
      </c>
      <c r="B125" s="1" t="str">
        <f t="shared" si="19"/>
        <v>SANTA MONICA-MALIBU UNIFIED SCHOOL DISTRICT</v>
      </c>
      <c r="C125" s="1" t="str">
        <f t="shared" si="35"/>
        <v>010</v>
      </c>
      <c r="D125" s="1" t="str">
        <f t="shared" si="36"/>
        <v>JOHN ADAMS MIDDLE SCHOOL</v>
      </c>
      <c r="E125" s="1" t="str">
        <f>"012"</f>
        <v>012</v>
      </c>
      <c r="F125" s="1" t="str">
        <f>"CLASSROOM BUILDING RMS 50-53"</f>
        <v>CLASSROOM BUILDING RMS 50-53</v>
      </c>
      <c r="G125" s="1" t="str">
        <f>"2436 16TH STREET"</f>
        <v>2436 16TH STREET</v>
      </c>
      <c r="H125" s="1" t="str">
        <f t="shared" si="31"/>
        <v>SANTA MONICA</v>
      </c>
      <c r="I125" s="1" t="str">
        <f t="shared" si="24"/>
        <v>CA</v>
      </c>
      <c r="J125" s="1" t="str">
        <f t="shared" si="37"/>
        <v>90405</v>
      </c>
      <c r="K125" s="1">
        <v>1936</v>
      </c>
      <c r="L125" s="1">
        <v>4757</v>
      </c>
      <c r="M125" s="1">
        <v>1306000</v>
      </c>
      <c r="N125" s="1">
        <v>99000</v>
      </c>
      <c r="O125" s="1">
        <f t="shared" si="26"/>
        <v>1405000</v>
      </c>
      <c r="P125" s="1">
        <v>0</v>
      </c>
      <c r="Q125" s="11">
        <v>42326</v>
      </c>
    </row>
    <row r="126" spans="1:17" x14ac:dyDescent="0.25">
      <c r="A126" s="8" t="str">
        <f t="shared" si="18"/>
        <v>042</v>
      </c>
      <c r="B126" s="1" t="str">
        <f t="shared" si="19"/>
        <v>SANTA MONICA-MALIBU UNIFIED SCHOOL DISTRICT</v>
      </c>
      <c r="C126" s="1" t="str">
        <f t="shared" si="35"/>
        <v>010</v>
      </c>
      <c r="D126" s="1" t="str">
        <f t="shared" si="36"/>
        <v>JOHN ADAMS MIDDLE SCHOOL</v>
      </c>
      <c r="E126" s="1" t="str">
        <f>"013"</f>
        <v>013</v>
      </c>
      <c r="F126" s="1" t="str">
        <f>"CLASSROOM BUILDING RMS 54-57"</f>
        <v>CLASSROOM BUILDING RMS 54-57</v>
      </c>
      <c r="G126" s="1" t="str">
        <f>"2437 16TH STREET"</f>
        <v>2437 16TH STREET</v>
      </c>
      <c r="H126" s="1" t="str">
        <f t="shared" si="31"/>
        <v>SANTA MONICA</v>
      </c>
      <c r="I126" s="1" t="str">
        <f t="shared" si="24"/>
        <v>CA</v>
      </c>
      <c r="J126" s="1" t="str">
        <f t="shared" si="37"/>
        <v>90405</v>
      </c>
      <c r="K126" s="1">
        <v>1936</v>
      </c>
      <c r="L126" s="1">
        <v>3900</v>
      </c>
      <c r="M126" s="1">
        <v>1081000</v>
      </c>
      <c r="N126" s="1">
        <v>82000</v>
      </c>
      <c r="O126" s="1">
        <f t="shared" si="26"/>
        <v>1163000</v>
      </c>
      <c r="P126" s="1">
        <v>0</v>
      </c>
      <c r="Q126" s="11">
        <v>42326</v>
      </c>
    </row>
    <row r="127" spans="1:17" x14ac:dyDescent="0.25">
      <c r="A127" s="8" t="str">
        <f t="shared" si="18"/>
        <v>042</v>
      </c>
      <c r="B127" s="1" t="str">
        <f t="shared" si="19"/>
        <v>SANTA MONICA-MALIBU UNIFIED SCHOOL DISTRICT</v>
      </c>
      <c r="C127" s="1" t="str">
        <f t="shared" si="35"/>
        <v>010</v>
      </c>
      <c r="D127" s="1" t="str">
        <f t="shared" si="36"/>
        <v>JOHN ADAMS MIDDLE SCHOOL</v>
      </c>
      <c r="E127" s="1" t="str">
        <f>"014"</f>
        <v>014</v>
      </c>
      <c r="F127" s="1" t="str">
        <f>"CLASSROOM BUILDING RMS 70-73"</f>
        <v>CLASSROOM BUILDING RMS 70-73</v>
      </c>
      <c r="G127" s="1" t="str">
        <f>"2438 16TH STREET"</f>
        <v>2438 16TH STREET</v>
      </c>
      <c r="H127" s="1" t="str">
        <f t="shared" si="31"/>
        <v>SANTA MONICA</v>
      </c>
      <c r="I127" s="1" t="str">
        <f t="shared" si="24"/>
        <v>CA</v>
      </c>
      <c r="J127" s="1" t="str">
        <f t="shared" si="37"/>
        <v>90405</v>
      </c>
      <c r="K127" s="1">
        <v>1948</v>
      </c>
      <c r="L127" s="1">
        <v>8632</v>
      </c>
      <c r="M127" s="1">
        <v>2046000</v>
      </c>
      <c r="N127" s="1">
        <v>180000</v>
      </c>
      <c r="O127" s="1">
        <f t="shared" si="26"/>
        <v>2226000</v>
      </c>
      <c r="P127" s="1">
        <v>0</v>
      </c>
      <c r="Q127" s="11">
        <v>42326</v>
      </c>
    </row>
    <row r="128" spans="1:17" x14ac:dyDescent="0.25">
      <c r="A128" s="8" t="str">
        <f t="shared" si="18"/>
        <v>042</v>
      </c>
      <c r="B128" s="1" t="str">
        <f t="shared" si="19"/>
        <v>SANTA MONICA-MALIBU UNIFIED SCHOOL DISTRICT</v>
      </c>
      <c r="C128" s="1" t="str">
        <f t="shared" si="35"/>
        <v>010</v>
      </c>
      <c r="D128" s="1" t="str">
        <f t="shared" si="36"/>
        <v>JOHN ADAMS MIDDLE SCHOOL</v>
      </c>
      <c r="E128" s="1" t="str">
        <f>"016"</f>
        <v>016</v>
      </c>
      <c r="F128" s="1" t="str">
        <f>"PRESCHOOL BUILDING"</f>
        <v>PRESCHOOL BUILDING</v>
      </c>
      <c r="G128" s="1" t="str">
        <f>"2439 16TH STREET"</f>
        <v>2439 16TH STREET</v>
      </c>
      <c r="H128" s="1" t="str">
        <f t="shared" si="31"/>
        <v>SANTA MONICA</v>
      </c>
      <c r="I128" s="1" t="str">
        <f t="shared" si="24"/>
        <v>CA</v>
      </c>
      <c r="J128" s="1" t="str">
        <f t="shared" si="37"/>
        <v>90405</v>
      </c>
      <c r="K128" s="1">
        <v>1968</v>
      </c>
      <c r="L128" s="1">
        <v>3400</v>
      </c>
      <c r="M128" s="1">
        <v>939000</v>
      </c>
      <c r="N128" s="1">
        <v>0</v>
      </c>
      <c r="O128" s="1">
        <f t="shared" si="26"/>
        <v>939000</v>
      </c>
      <c r="P128" s="1">
        <v>0</v>
      </c>
      <c r="Q128" s="11">
        <v>42326</v>
      </c>
    </row>
    <row r="129" spans="1:17" x14ac:dyDescent="0.25">
      <c r="A129" s="8" t="str">
        <f t="shared" si="18"/>
        <v>042</v>
      </c>
      <c r="B129" s="1" t="str">
        <f t="shared" si="19"/>
        <v>SANTA MONICA-MALIBU UNIFIED SCHOOL DISTRICT</v>
      </c>
      <c r="C129" s="1" t="str">
        <f t="shared" si="35"/>
        <v>010</v>
      </c>
      <c r="D129" s="1" t="str">
        <f t="shared" si="36"/>
        <v>JOHN ADAMS MIDDLE SCHOOL</v>
      </c>
      <c r="E129" s="1" t="str">
        <f>"017"</f>
        <v>017</v>
      </c>
      <c r="F129" s="1" t="str">
        <f>"CLASSROOM BUILDING RMS 80-82"</f>
        <v>CLASSROOM BUILDING RMS 80-82</v>
      </c>
      <c r="G129" s="1" t="str">
        <f>"2440 16TH STREET"</f>
        <v>2440 16TH STREET</v>
      </c>
      <c r="H129" s="1" t="str">
        <f t="shared" si="31"/>
        <v>SANTA MONICA</v>
      </c>
      <c r="I129" s="1" t="str">
        <f t="shared" si="24"/>
        <v>CA</v>
      </c>
      <c r="J129" s="1" t="str">
        <f t="shared" si="37"/>
        <v>90405</v>
      </c>
      <c r="K129" s="1">
        <v>1968</v>
      </c>
      <c r="L129" s="1">
        <v>3400</v>
      </c>
      <c r="M129" s="1">
        <v>924000</v>
      </c>
      <c r="N129" s="1">
        <v>0</v>
      </c>
      <c r="O129" s="1">
        <f t="shared" si="26"/>
        <v>924000</v>
      </c>
      <c r="P129" s="1">
        <v>0</v>
      </c>
      <c r="Q129" s="11">
        <v>42326</v>
      </c>
    </row>
    <row r="130" spans="1:17" x14ac:dyDescent="0.25">
      <c r="A130" s="8" t="str">
        <f t="shared" ref="A130:A193" si="38">"042"</f>
        <v>042</v>
      </c>
      <c r="B130" s="1" t="str">
        <f t="shared" ref="B130:B193" si="39">"SANTA MONICA-MALIBU UNIFIED SCHOOL DISTRICT"</f>
        <v>SANTA MONICA-MALIBU UNIFIED SCHOOL DISTRICT</v>
      </c>
      <c r="C130" s="1" t="str">
        <f t="shared" si="35"/>
        <v>010</v>
      </c>
      <c r="D130" s="1" t="str">
        <f t="shared" si="36"/>
        <v>JOHN ADAMS MIDDLE SCHOOL</v>
      </c>
      <c r="E130" s="1" t="str">
        <f>"018"</f>
        <v>018</v>
      </c>
      <c r="F130" s="1" t="str">
        <f>"CLASSROOM BUILDING RMS 83-85"</f>
        <v>CLASSROOM BUILDING RMS 83-85</v>
      </c>
      <c r="G130" s="1" t="str">
        <f>"2441 16TH STREET"</f>
        <v>2441 16TH STREET</v>
      </c>
      <c r="H130" s="1" t="str">
        <f t="shared" ref="H130:H151" si="40">"SANTA MONICA"</f>
        <v>SANTA MONICA</v>
      </c>
      <c r="I130" s="1" t="str">
        <f t="shared" ref="I130:I193" si="41">"CA"</f>
        <v>CA</v>
      </c>
      <c r="J130" s="1" t="str">
        <f t="shared" si="37"/>
        <v>90405</v>
      </c>
      <c r="K130" s="1">
        <v>1968</v>
      </c>
      <c r="L130" s="1">
        <v>3400</v>
      </c>
      <c r="M130" s="1">
        <v>939000</v>
      </c>
      <c r="N130" s="1">
        <v>0</v>
      </c>
      <c r="O130" s="1">
        <f t="shared" ref="O130:O193" si="42">M130+N130</f>
        <v>939000</v>
      </c>
      <c r="P130" s="1">
        <v>0</v>
      </c>
      <c r="Q130" s="11">
        <v>42326</v>
      </c>
    </row>
    <row r="131" spans="1:17" x14ac:dyDescent="0.25">
      <c r="A131" s="8" t="str">
        <f t="shared" si="38"/>
        <v>042</v>
      </c>
      <c r="B131" s="1" t="str">
        <f t="shared" si="39"/>
        <v>SANTA MONICA-MALIBU UNIFIED SCHOOL DISTRICT</v>
      </c>
      <c r="C131" s="1" t="str">
        <f t="shared" si="35"/>
        <v>010</v>
      </c>
      <c r="D131" s="1" t="str">
        <f t="shared" si="36"/>
        <v>JOHN ADAMS MIDDLE SCHOOL</v>
      </c>
      <c r="E131" s="1" t="str">
        <f>"019"</f>
        <v>019</v>
      </c>
      <c r="F131" s="1" t="str">
        <f>"CLASSROOM BUILDING RMS 86-88"</f>
        <v>CLASSROOM BUILDING RMS 86-88</v>
      </c>
      <c r="G131" s="1" t="str">
        <f>"2442 16TH STREET"</f>
        <v>2442 16TH STREET</v>
      </c>
      <c r="H131" s="1" t="str">
        <f t="shared" si="40"/>
        <v>SANTA MONICA</v>
      </c>
      <c r="I131" s="1" t="str">
        <f t="shared" si="41"/>
        <v>CA</v>
      </c>
      <c r="J131" s="1" t="str">
        <f t="shared" si="37"/>
        <v>90405</v>
      </c>
      <c r="K131" s="1">
        <v>1968</v>
      </c>
      <c r="L131" s="1">
        <v>3400</v>
      </c>
      <c r="M131" s="1">
        <v>924000</v>
      </c>
      <c r="N131" s="1">
        <v>0</v>
      </c>
      <c r="O131" s="1">
        <f t="shared" si="42"/>
        <v>924000</v>
      </c>
      <c r="P131" s="1">
        <v>0</v>
      </c>
      <c r="Q131" s="11">
        <v>42326</v>
      </c>
    </row>
    <row r="132" spans="1:17" x14ac:dyDescent="0.25">
      <c r="A132" s="8" t="str">
        <f t="shared" si="38"/>
        <v>042</v>
      </c>
      <c r="B132" s="1" t="str">
        <f t="shared" si="39"/>
        <v>SANTA MONICA-MALIBU UNIFIED SCHOOL DISTRICT</v>
      </c>
      <c r="C132" s="1" t="str">
        <f t="shared" si="35"/>
        <v>010</v>
      </c>
      <c r="D132" s="1" t="str">
        <f t="shared" si="36"/>
        <v>JOHN ADAMS MIDDLE SCHOOL</v>
      </c>
      <c r="E132" s="1" t="str">
        <f>"020"</f>
        <v>020</v>
      </c>
      <c r="F132" s="1" t="str">
        <f>"CLASSROOM BUILDING RMS 92-100"</f>
        <v>CLASSROOM BUILDING RMS 92-100</v>
      </c>
      <c r="G132" s="1" t="str">
        <f>"2443 16TH STREET"</f>
        <v>2443 16TH STREET</v>
      </c>
      <c r="H132" s="1" t="str">
        <f t="shared" si="40"/>
        <v>SANTA MONICA</v>
      </c>
      <c r="I132" s="1" t="str">
        <f t="shared" si="41"/>
        <v>CA</v>
      </c>
      <c r="J132" s="1" t="str">
        <f t="shared" si="37"/>
        <v>90405</v>
      </c>
      <c r="K132" s="1">
        <v>1968</v>
      </c>
      <c r="L132" s="1">
        <v>12960</v>
      </c>
      <c r="M132" s="1">
        <v>3104000</v>
      </c>
      <c r="N132" s="1">
        <v>271000</v>
      </c>
      <c r="O132" s="1">
        <f t="shared" si="42"/>
        <v>3375000</v>
      </c>
      <c r="P132" s="1">
        <v>0</v>
      </c>
      <c r="Q132" s="11">
        <v>42326</v>
      </c>
    </row>
    <row r="133" spans="1:17" x14ac:dyDescent="0.25">
      <c r="A133" s="8" t="str">
        <f t="shared" si="38"/>
        <v>042</v>
      </c>
      <c r="B133" s="1" t="str">
        <f t="shared" si="39"/>
        <v>SANTA MONICA-MALIBU UNIFIED SCHOOL DISTRICT</v>
      </c>
      <c r="C133" s="1" t="str">
        <f t="shared" si="35"/>
        <v>010</v>
      </c>
      <c r="D133" s="1" t="str">
        <f t="shared" si="36"/>
        <v>JOHN ADAMS MIDDLE SCHOOL</v>
      </c>
      <c r="E133" s="1" t="str">
        <f>"098"</f>
        <v>098</v>
      </c>
      <c r="F133" s="1" t="str">
        <f>"COVERED EATING AREA"</f>
        <v>COVERED EATING AREA</v>
      </c>
      <c r="G133" s="1" t="str">
        <f>"2444 16TH STREET"</f>
        <v>2444 16TH STREET</v>
      </c>
      <c r="H133" s="1" t="str">
        <f t="shared" si="40"/>
        <v>SANTA MONICA</v>
      </c>
      <c r="I133" s="1" t="str">
        <f t="shared" si="41"/>
        <v>CA</v>
      </c>
      <c r="J133" s="1" t="str">
        <f t="shared" si="37"/>
        <v>90405</v>
      </c>
      <c r="K133" s="1">
        <v>2012</v>
      </c>
      <c r="L133" s="1">
        <v>1800</v>
      </c>
      <c r="M133" s="1">
        <v>36000</v>
      </c>
      <c r="N133" s="1">
        <v>0</v>
      </c>
      <c r="O133" s="1">
        <f t="shared" si="42"/>
        <v>36000</v>
      </c>
      <c r="P133" s="1">
        <v>0</v>
      </c>
      <c r="Q133" s="11">
        <v>42326</v>
      </c>
    </row>
    <row r="134" spans="1:17" x14ac:dyDescent="0.25">
      <c r="A134" s="8" t="str">
        <f t="shared" si="38"/>
        <v>042</v>
      </c>
      <c r="B134" s="1" t="str">
        <f t="shared" si="39"/>
        <v>SANTA MONICA-MALIBU UNIFIED SCHOOL DISTRICT</v>
      </c>
      <c r="C134" s="1" t="str">
        <f t="shared" si="35"/>
        <v>010</v>
      </c>
      <c r="D134" s="1" t="str">
        <f t="shared" si="36"/>
        <v>JOHN ADAMS MIDDLE SCHOOL</v>
      </c>
      <c r="E134" s="1" t="str">
        <f>"099"</f>
        <v>099</v>
      </c>
      <c r="F134" s="1" t="str">
        <f>"COVERED PASSAGES"</f>
        <v>COVERED PASSAGES</v>
      </c>
      <c r="G134" s="1" t="str">
        <f>"2445 16TH STREET"</f>
        <v>2445 16TH STREET</v>
      </c>
      <c r="H134" s="1" t="str">
        <f t="shared" si="40"/>
        <v>SANTA MONICA</v>
      </c>
      <c r="I134" s="1" t="str">
        <f t="shared" si="41"/>
        <v>CA</v>
      </c>
      <c r="J134" s="1" t="str">
        <f t="shared" si="37"/>
        <v>90405</v>
      </c>
      <c r="K134" s="1">
        <v>1939</v>
      </c>
      <c r="L134" s="1">
        <v>14520</v>
      </c>
      <c r="M134" s="1">
        <v>417000</v>
      </c>
      <c r="N134" s="1">
        <v>0</v>
      </c>
      <c r="O134" s="1">
        <f t="shared" si="42"/>
        <v>417000</v>
      </c>
      <c r="P134" s="1">
        <v>0</v>
      </c>
      <c r="Q134" s="11">
        <v>42326</v>
      </c>
    </row>
    <row r="135" spans="1:17" x14ac:dyDescent="0.25">
      <c r="A135" s="8" t="str">
        <f t="shared" si="38"/>
        <v>042</v>
      </c>
      <c r="B135" s="1" t="str">
        <f t="shared" si="39"/>
        <v>SANTA MONICA-MALIBU UNIFIED SCHOOL DISTRICT</v>
      </c>
      <c r="C135" s="1" t="str">
        <f t="shared" ref="C135:C147" si="43">"024"</f>
        <v>024</v>
      </c>
      <c r="D135" s="1" t="str">
        <f t="shared" ref="D135:D147" si="44">"JOHN MUIR ELEMENTARY/SMASH"</f>
        <v>JOHN MUIR ELEMENTARY/SMASH</v>
      </c>
      <c r="E135" s="1" t="str">
        <f>"001"</f>
        <v>001</v>
      </c>
      <c r="F135" s="1" t="str">
        <f>"ADMINISTRATION/MEDIA BUILDING"</f>
        <v>ADMINISTRATION/MEDIA BUILDING</v>
      </c>
      <c r="G135" s="1" t="str">
        <f>"2526 6TH STREET"</f>
        <v>2526 6TH STREET</v>
      </c>
      <c r="H135" s="1" t="str">
        <f t="shared" si="40"/>
        <v>SANTA MONICA</v>
      </c>
      <c r="I135" s="1" t="str">
        <f t="shared" si="41"/>
        <v>CA</v>
      </c>
      <c r="J135" s="1" t="str">
        <f t="shared" si="37"/>
        <v>90405</v>
      </c>
      <c r="K135" s="1">
        <v>1996</v>
      </c>
      <c r="L135" s="1">
        <v>8720</v>
      </c>
      <c r="M135" s="1">
        <v>2327000</v>
      </c>
      <c r="N135" s="1">
        <v>264000</v>
      </c>
      <c r="O135" s="1">
        <f t="shared" si="42"/>
        <v>2591000</v>
      </c>
      <c r="P135" s="1">
        <v>0</v>
      </c>
      <c r="Q135" s="11">
        <v>42323</v>
      </c>
    </row>
    <row r="136" spans="1:17" x14ac:dyDescent="0.25">
      <c r="A136" s="8" t="str">
        <f t="shared" si="38"/>
        <v>042</v>
      </c>
      <c r="B136" s="1" t="str">
        <f t="shared" si="39"/>
        <v>SANTA MONICA-MALIBU UNIFIED SCHOOL DISTRICT</v>
      </c>
      <c r="C136" s="1" t="str">
        <f t="shared" si="43"/>
        <v>024</v>
      </c>
      <c r="D136" s="1" t="str">
        <f t="shared" si="44"/>
        <v>JOHN MUIR ELEMENTARY/SMASH</v>
      </c>
      <c r="E136" s="1" t="str">
        <f>"099"</f>
        <v>099</v>
      </c>
      <c r="F136" s="1" t="str">
        <f>"COVERED PASSAGES"</f>
        <v>COVERED PASSAGES</v>
      </c>
      <c r="G136" s="1" t="str">
        <f>"2526 6TH STREET"</f>
        <v>2526 6TH STREET</v>
      </c>
      <c r="H136" s="1" t="str">
        <f t="shared" si="40"/>
        <v>SANTA MONICA</v>
      </c>
      <c r="I136" s="1" t="str">
        <f t="shared" si="41"/>
        <v>CA</v>
      </c>
      <c r="J136" s="1" t="str">
        <f t="shared" si="37"/>
        <v>90405</v>
      </c>
      <c r="K136" s="1">
        <v>1996</v>
      </c>
      <c r="L136" s="1">
        <v>544</v>
      </c>
      <c r="M136" s="1">
        <v>16000</v>
      </c>
      <c r="N136" s="1">
        <v>0</v>
      </c>
      <c r="O136" s="1">
        <f t="shared" si="42"/>
        <v>16000</v>
      </c>
      <c r="P136" s="1">
        <v>0</v>
      </c>
      <c r="Q136" s="11">
        <v>42327</v>
      </c>
    </row>
    <row r="137" spans="1:17" x14ac:dyDescent="0.25">
      <c r="A137" s="8" t="str">
        <f t="shared" si="38"/>
        <v>042</v>
      </c>
      <c r="B137" s="1" t="str">
        <f t="shared" si="39"/>
        <v>SANTA MONICA-MALIBU UNIFIED SCHOOL DISTRICT</v>
      </c>
      <c r="C137" s="1" t="str">
        <f t="shared" si="43"/>
        <v>024</v>
      </c>
      <c r="D137" s="1" t="str">
        <f t="shared" si="44"/>
        <v>JOHN MUIR ELEMENTARY/SMASH</v>
      </c>
      <c r="E137" s="1" t="str">
        <f>"002"</f>
        <v>002</v>
      </c>
      <c r="F137" s="1" t="str">
        <f>"MULTIPURPOSE/CLASSROOM BUILDING"</f>
        <v>MULTIPURPOSE/CLASSROOM BUILDING</v>
      </c>
      <c r="G137" s="1" t="str">
        <f>"2527 6TH STREET"</f>
        <v>2527 6TH STREET</v>
      </c>
      <c r="H137" s="1" t="str">
        <f t="shared" si="40"/>
        <v>SANTA MONICA</v>
      </c>
      <c r="I137" s="1" t="str">
        <f t="shared" si="41"/>
        <v>CA</v>
      </c>
      <c r="J137" s="1" t="str">
        <f t="shared" si="37"/>
        <v>90405</v>
      </c>
      <c r="K137" s="1">
        <v>1997</v>
      </c>
      <c r="L137" s="1">
        <v>14800</v>
      </c>
      <c r="M137" s="1">
        <v>3792000</v>
      </c>
      <c r="N137" s="1">
        <v>448000</v>
      </c>
      <c r="O137" s="1">
        <f t="shared" si="42"/>
        <v>4240000</v>
      </c>
      <c r="P137" s="1">
        <v>0</v>
      </c>
      <c r="Q137" s="11">
        <v>42323</v>
      </c>
    </row>
    <row r="138" spans="1:17" x14ac:dyDescent="0.25">
      <c r="A138" s="8" t="str">
        <f t="shared" si="38"/>
        <v>042</v>
      </c>
      <c r="B138" s="1" t="str">
        <f t="shared" si="39"/>
        <v>SANTA MONICA-MALIBU UNIFIED SCHOOL DISTRICT</v>
      </c>
      <c r="C138" s="1" t="str">
        <f t="shared" si="43"/>
        <v>024</v>
      </c>
      <c r="D138" s="1" t="str">
        <f t="shared" si="44"/>
        <v>JOHN MUIR ELEMENTARY/SMASH</v>
      </c>
      <c r="E138" s="1" t="str">
        <f>"003"</f>
        <v>003</v>
      </c>
      <c r="F138" s="1" t="str">
        <f>"CLASSROOM BUILDING WING 500"</f>
        <v>CLASSROOM BUILDING WING 500</v>
      </c>
      <c r="G138" s="1" t="str">
        <f>"2528 6TH STREET"</f>
        <v>2528 6TH STREET</v>
      </c>
      <c r="H138" s="1" t="str">
        <f t="shared" si="40"/>
        <v>SANTA MONICA</v>
      </c>
      <c r="I138" s="1" t="str">
        <f t="shared" si="41"/>
        <v>CA</v>
      </c>
      <c r="J138" s="1" t="str">
        <f t="shared" si="37"/>
        <v>90405</v>
      </c>
      <c r="K138" s="1">
        <v>1996</v>
      </c>
      <c r="L138" s="1">
        <v>9638</v>
      </c>
      <c r="M138" s="1">
        <v>2565000</v>
      </c>
      <c r="N138" s="1">
        <v>292000</v>
      </c>
      <c r="O138" s="1">
        <f t="shared" si="42"/>
        <v>2857000</v>
      </c>
      <c r="P138" s="1">
        <v>0</v>
      </c>
      <c r="Q138" s="11">
        <v>42323</v>
      </c>
    </row>
    <row r="139" spans="1:17" x14ac:dyDescent="0.25">
      <c r="A139" s="8" t="str">
        <f t="shared" si="38"/>
        <v>042</v>
      </c>
      <c r="B139" s="1" t="str">
        <f t="shared" si="39"/>
        <v>SANTA MONICA-MALIBU UNIFIED SCHOOL DISTRICT</v>
      </c>
      <c r="C139" s="1" t="str">
        <f t="shared" si="43"/>
        <v>024</v>
      </c>
      <c r="D139" s="1" t="str">
        <f t="shared" si="44"/>
        <v>JOHN MUIR ELEMENTARY/SMASH</v>
      </c>
      <c r="E139" s="1" t="str">
        <f>"004"</f>
        <v>004</v>
      </c>
      <c r="F139" s="1" t="str">
        <f>"CLASSROOM BUILDING WING 600"</f>
        <v>CLASSROOM BUILDING WING 600</v>
      </c>
      <c r="G139" s="1" t="str">
        <f>"2529 6TH STREET"</f>
        <v>2529 6TH STREET</v>
      </c>
      <c r="H139" s="1" t="str">
        <f t="shared" si="40"/>
        <v>SANTA MONICA</v>
      </c>
      <c r="I139" s="1" t="str">
        <f t="shared" si="41"/>
        <v>CA</v>
      </c>
      <c r="J139" s="1" t="str">
        <f t="shared" si="37"/>
        <v>90405</v>
      </c>
      <c r="K139" s="1">
        <v>1996</v>
      </c>
      <c r="L139" s="1">
        <v>9766</v>
      </c>
      <c r="M139" s="1">
        <v>2603000</v>
      </c>
      <c r="N139" s="1">
        <v>296000</v>
      </c>
      <c r="O139" s="1">
        <f t="shared" si="42"/>
        <v>2899000</v>
      </c>
      <c r="P139" s="1">
        <v>0</v>
      </c>
      <c r="Q139" s="11">
        <v>42323</v>
      </c>
    </row>
    <row r="140" spans="1:17" x14ac:dyDescent="0.25">
      <c r="A140" s="8" t="str">
        <f t="shared" si="38"/>
        <v>042</v>
      </c>
      <c r="B140" s="1" t="str">
        <f t="shared" si="39"/>
        <v>SANTA MONICA-MALIBU UNIFIED SCHOOL DISTRICT</v>
      </c>
      <c r="C140" s="1" t="str">
        <f t="shared" si="43"/>
        <v>024</v>
      </c>
      <c r="D140" s="1" t="str">
        <f t="shared" si="44"/>
        <v>JOHN MUIR ELEMENTARY/SMASH</v>
      </c>
      <c r="E140" s="1" t="str">
        <f>"005"</f>
        <v>005</v>
      </c>
      <c r="F140" s="1" t="str">
        <f>"CLASSROOM BUILDING RM 2"</f>
        <v>CLASSROOM BUILDING RM 2</v>
      </c>
      <c r="G140" s="1" t="str">
        <f>"2530 6TH STREET"</f>
        <v>2530 6TH STREET</v>
      </c>
      <c r="H140" s="1" t="str">
        <f t="shared" si="40"/>
        <v>SANTA MONICA</v>
      </c>
      <c r="I140" s="1" t="str">
        <f t="shared" si="41"/>
        <v>CA</v>
      </c>
      <c r="J140" s="1" t="str">
        <f t="shared" si="37"/>
        <v>90405</v>
      </c>
      <c r="K140" s="1">
        <v>2002</v>
      </c>
      <c r="L140" s="1">
        <v>1920</v>
      </c>
      <c r="M140" s="1">
        <v>519000</v>
      </c>
      <c r="N140" s="1">
        <v>58000</v>
      </c>
      <c r="O140" s="1">
        <f t="shared" si="42"/>
        <v>577000</v>
      </c>
      <c r="P140" s="1">
        <v>0</v>
      </c>
      <c r="Q140" s="11">
        <v>42323</v>
      </c>
    </row>
    <row r="141" spans="1:17" x14ac:dyDescent="0.25">
      <c r="A141" s="8" t="str">
        <f t="shared" si="38"/>
        <v>042</v>
      </c>
      <c r="B141" s="1" t="str">
        <f t="shared" si="39"/>
        <v>SANTA MONICA-MALIBU UNIFIED SCHOOL DISTRICT</v>
      </c>
      <c r="C141" s="1" t="str">
        <f t="shared" si="43"/>
        <v>024</v>
      </c>
      <c r="D141" s="1" t="str">
        <f t="shared" si="44"/>
        <v>JOHN MUIR ELEMENTARY/SMASH</v>
      </c>
      <c r="E141" s="1" t="str">
        <f>"006"</f>
        <v>006</v>
      </c>
      <c r="F141" s="1" t="str">
        <f>"CLASSROOM BUILDING"</f>
        <v>CLASSROOM BUILDING</v>
      </c>
      <c r="G141" s="1" t="str">
        <f>"2531 6TH STREET"</f>
        <v>2531 6TH STREET</v>
      </c>
      <c r="H141" s="1" t="str">
        <f t="shared" si="40"/>
        <v>SANTA MONICA</v>
      </c>
      <c r="I141" s="1" t="str">
        <f t="shared" si="41"/>
        <v>CA</v>
      </c>
      <c r="J141" s="1" t="str">
        <f t="shared" si="37"/>
        <v>90405</v>
      </c>
      <c r="K141" s="1">
        <v>2000</v>
      </c>
      <c r="L141" s="1">
        <v>3036</v>
      </c>
      <c r="M141" s="1">
        <v>804000</v>
      </c>
      <c r="N141" s="1">
        <v>92000</v>
      </c>
      <c r="O141" s="1">
        <f t="shared" si="42"/>
        <v>896000</v>
      </c>
      <c r="P141" s="1">
        <v>0</v>
      </c>
      <c r="Q141" s="11">
        <v>42323</v>
      </c>
    </row>
    <row r="142" spans="1:17" x14ac:dyDescent="0.25">
      <c r="A142" s="8" t="str">
        <f t="shared" si="38"/>
        <v>042</v>
      </c>
      <c r="B142" s="1" t="str">
        <f t="shared" si="39"/>
        <v>SANTA MONICA-MALIBU UNIFIED SCHOOL DISTRICT</v>
      </c>
      <c r="C142" s="1" t="str">
        <f t="shared" si="43"/>
        <v>024</v>
      </c>
      <c r="D142" s="1" t="str">
        <f t="shared" si="44"/>
        <v>JOHN MUIR ELEMENTARY/SMASH</v>
      </c>
      <c r="E142" s="1" t="str">
        <f>"007"</f>
        <v>007</v>
      </c>
      <c r="F142" s="1" t="str">
        <f>"STORAGE BUILDING"</f>
        <v>STORAGE BUILDING</v>
      </c>
      <c r="G142" s="1" t="str">
        <f>"2532 6TH STREET"</f>
        <v>2532 6TH STREET</v>
      </c>
      <c r="H142" s="1" t="str">
        <f t="shared" si="40"/>
        <v>SANTA MONICA</v>
      </c>
      <c r="I142" s="1" t="str">
        <f t="shared" si="41"/>
        <v>CA</v>
      </c>
      <c r="J142" s="1" t="str">
        <f t="shared" si="37"/>
        <v>90405</v>
      </c>
      <c r="K142" s="1">
        <v>1996</v>
      </c>
      <c r="L142" s="1">
        <v>256</v>
      </c>
      <c r="M142" s="1">
        <v>76000</v>
      </c>
      <c r="N142" s="1">
        <v>7000</v>
      </c>
      <c r="O142" s="1">
        <f t="shared" si="42"/>
        <v>83000</v>
      </c>
      <c r="P142" s="1">
        <v>0</v>
      </c>
      <c r="Q142" s="11">
        <v>42323</v>
      </c>
    </row>
    <row r="143" spans="1:17" x14ac:dyDescent="0.25">
      <c r="A143" s="8" t="str">
        <f t="shared" si="38"/>
        <v>042</v>
      </c>
      <c r="B143" s="1" t="str">
        <f t="shared" si="39"/>
        <v>SANTA MONICA-MALIBU UNIFIED SCHOOL DISTRICT</v>
      </c>
      <c r="C143" s="1" t="str">
        <f t="shared" si="43"/>
        <v>024</v>
      </c>
      <c r="D143" s="1" t="str">
        <f t="shared" si="44"/>
        <v>JOHN MUIR ELEMENTARY/SMASH</v>
      </c>
      <c r="E143" s="1" t="str">
        <f>"008"</f>
        <v>008</v>
      </c>
      <c r="F143" s="1" t="str">
        <f>"RESTROOM BUILDING"</f>
        <v>RESTROOM BUILDING</v>
      </c>
      <c r="G143" s="1" t="str">
        <f>"2533 6TH STREET"</f>
        <v>2533 6TH STREET</v>
      </c>
      <c r="H143" s="1" t="str">
        <f t="shared" si="40"/>
        <v>SANTA MONICA</v>
      </c>
      <c r="I143" s="1" t="str">
        <f t="shared" si="41"/>
        <v>CA</v>
      </c>
      <c r="J143" s="1" t="str">
        <f t="shared" si="37"/>
        <v>90405</v>
      </c>
      <c r="K143" s="1">
        <v>1996</v>
      </c>
      <c r="L143" s="1">
        <v>432</v>
      </c>
      <c r="M143" s="1">
        <v>129000</v>
      </c>
      <c r="N143" s="1">
        <v>2000</v>
      </c>
      <c r="O143" s="1">
        <f t="shared" si="42"/>
        <v>131000</v>
      </c>
      <c r="P143" s="1">
        <v>0</v>
      </c>
      <c r="Q143" s="11">
        <v>42323</v>
      </c>
    </row>
    <row r="144" spans="1:17" x14ac:dyDescent="0.25">
      <c r="A144" s="8" t="str">
        <f t="shared" si="38"/>
        <v>042</v>
      </c>
      <c r="B144" s="1" t="str">
        <f t="shared" si="39"/>
        <v>SANTA MONICA-MALIBU UNIFIED SCHOOL DISTRICT</v>
      </c>
      <c r="C144" s="1" t="str">
        <f t="shared" si="43"/>
        <v>024</v>
      </c>
      <c r="D144" s="1" t="str">
        <f t="shared" si="44"/>
        <v>JOHN MUIR ELEMENTARY/SMASH</v>
      </c>
      <c r="E144" s="1" t="str">
        <f>"901"</f>
        <v>901</v>
      </c>
      <c r="F144" s="1" t="str">
        <f>"PORTABLE CLASSROOM BUILDING RM A"</f>
        <v>PORTABLE CLASSROOM BUILDING RM A</v>
      </c>
      <c r="G144" s="1" t="str">
        <f>"2534 6TH STREET"</f>
        <v>2534 6TH STREET</v>
      </c>
      <c r="H144" s="1" t="str">
        <f t="shared" si="40"/>
        <v>SANTA MONICA</v>
      </c>
      <c r="I144" s="1" t="str">
        <f t="shared" si="41"/>
        <v>CA</v>
      </c>
      <c r="J144" s="1" t="str">
        <f t="shared" si="37"/>
        <v>90405</v>
      </c>
      <c r="K144" s="1">
        <v>1996</v>
      </c>
      <c r="L144" s="1">
        <v>960</v>
      </c>
      <c r="M144" s="1">
        <v>96000</v>
      </c>
      <c r="N144" s="1">
        <v>21000</v>
      </c>
      <c r="O144" s="1">
        <f t="shared" si="42"/>
        <v>117000</v>
      </c>
      <c r="P144" s="1">
        <v>0</v>
      </c>
      <c r="Q144" s="11">
        <v>42327</v>
      </c>
    </row>
    <row r="145" spans="1:17" x14ac:dyDescent="0.25">
      <c r="A145" s="8" t="str">
        <f t="shared" si="38"/>
        <v>042</v>
      </c>
      <c r="B145" s="1" t="str">
        <f t="shared" si="39"/>
        <v>SANTA MONICA-MALIBU UNIFIED SCHOOL DISTRICT</v>
      </c>
      <c r="C145" s="1" t="str">
        <f t="shared" si="43"/>
        <v>024</v>
      </c>
      <c r="D145" s="1" t="str">
        <f t="shared" si="44"/>
        <v>JOHN MUIR ELEMENTARY/SMASH</v>
      </c>
      <c r="E145" s="1" t="str">
        <f>"902"</f>
        <v>902</v>
      </c>
      <c r="F145" s="1" t="str">
        <f>"PORTABLE CLASSROOM BUILDING RM B"</f>
        <v>PORTABLE CLASSROOM BUILDING RM B</v>
      </c>
      <c r="G145" s="1" t="str">
        <f>"2535 6TH STREET"</f>
        <v>2535 6TH STREET</v>
      </c>
      <c r="H145" s="1" t="str">
        <f t="shared" si="40"/>
        <v>SANTA MONICA</v>
      </c>
      <c r="I145" s="1" t="str">
        <f t="shared" si="41"/>
        <v>CA</v>
      </c>
      <c r="J145" s="1" t="str">
        <f t="shared" si="37"/>
        <v>90405</v>
      </c>
      <c r="K145" s="1">
        <v>1996</v>
      </c>
      <c r="L145" s="1">
        <v>960</v>
      </c>
      <c r="M145" s="1">
        <v>96000</v>
      </c>
      <c r="N145" s="1">
        <v>21000</v>
      </c>
      <c r="O145" s="1">
        <f t="shared" si="42"/>
        <v>117000</v>
      </c>
      <c r="P145" s="1">
        <v>0</v>
      </c>
      <c r="Q145" s="11">
        <v>42327</v>
      </c>
    </row>
    <row r="146" spans="1:17" x14ac:dyDescent="0.25">
      <c r="A146" s="8" t="str">
        <f t="shared" si="38"/>
        <v>042</v>
      </c>
      <c r="B146" s="1" t="str">
        <f t="shared" si="39"/>
        <v>SANTA MONICA-MALIBU UNIFIED SCHOOL DISTRICT</v>
      </c>
      <c r="C146" s="1" t="str">
        <f t="shared" si="43"/>
        <v>024</v>
      </c>
      <c r="D146" s="1" t="str">
        <f t="shared" si="44"/>
        <v>JOHN MUIR ELEMENTARY/SMASH</v>
      </c>
      <c r="E146" s="1" t="str">
        <f>"903"</f>
        <v>903</v>
      </c>
      <c r="F146" s="1" t="str">
        <f>"PORTABLE CLASSROOM BUILDING RM C"</f>
        <v>PORTABLE CLASSROOM BUILDING RM C</v>
      </c>
      <c r="G146" s="1" t="str">
        <f>"2536 6TH STREET"</f>
        <v>2536 6TH STREET</v>
      </c>
      <c r="H146" s="1" t="str">
        <f t="shared" si="40"/>
        <v>SANTA MONICA</v>
      </c>
      <c r="I146" s="1" t="str">
        <f t="shared" si="41"/>
        <v>CA</v>
      </c>
      <c r="J146" s="1" t="str">
        <f t="shared" si="37"/>
        <v>90405</v>
      </c>
      <c r="K146" s="1">
        <v>1996</v>
      </c>
      <c r="L146" s="1">
        <v>960</v>
      </c>
      <c r="M146" s="1">
        <v>96000</v>
      </c>
      <c r="N146" s="1">
        <v>21000</v>
      </c>
      <c r="O146" s="1">
        <f t="shared" si="42"/>
        <v>117000</v>
      </c>
      <c r="P146" s="1">
        <v>0</v>
      </c>
      <c r="Q146" s="11">
        <v>42327</v>
      </c>
    </row>
    <row r="147" spans="1:17" x14ac:dyDescent="0.25">
      <c r="A147" s="8" t="str">
        <f t="shared" si="38"/>
        <v>042</v>
      </c>
      <c r="B147" s="1" t="str">
        <f t="shared" si="39"/>
        <v>SANTA MONICA-MALIBU UNIFIED SCHOOL DISTRICT</v>
      </c>
      <c r="C147" s="1" t="str">
        <f t="shared" si="43"/>
        <v>024</v>
      </c>
      <c r="D147" s="1" t="str">
        <f t="shared" si="44"/>
        <v>JOHN MUIR ELEMENTARY/SMASH</v>
      </c>
      <c r="E147" s="1" t="str">
        <f>"904"</f>
        <v>904</v>
      </c>
      <c r="F147" s="1" t="str">
        <f>"PORTABLE CLASSROOM BUILDING RM D"</f>
        <v>PORTABLE CLASSROOM BUILDING RM D</v>
      </c>
      <c r="G147" s="1" t="str">
        <f>"2537 6TH STREET"</f>
        <v>2537 6TH STREET</v>
      </c>
      <c r="H147" s="1" t="str">
        <f t="shared" si="40"/>
        <v>SANTA MONICA</v>
      </c>
      <c r="I147" s="1" t="str">
        <f t="shared" si="41"/>
        <v>CA</v>
      </c>
      <c r="J147" s="1" t="str">
        <f t="shared" si="37"/>
        <v>90405</v>
      </c>
      <c r="K147" s="1">
        <v>1996</v>
      </c>
      <c r="L147" s="1">
        <v>960</v>
      </c>
      <c r="M147" s="1">
        <v>96000</v>
      </c>
      <c r="N147" s="1">
        <v>21000</v>
      </c>
      <c r="O147" s="1">
        <f t="shared" si="42"/>
        <v>117000</v>
      </c>
      <c r="P147" s="1">
        <v>0</v>
      </c>
      <c r="Q147" s="11">
        <v>42327</v>
      </c>
    </row>
    <row r="148" spans="1:17" x14ac:dyDescent="0.25">
      <c r="A148" s="8" t="str">
        <f t="shared" si="38"/>
        <v>042</v>
      </c>
      <c r="B148" s="1" t="str">
        <f t="shared" si="39"/>
        <v>SANTA MONICA-MALIBU UNIFIED SCHOOL DISTRICT</v>
      </c>
      <c r="C148" s="1" t="str">
        <f>"015"</f>
        <v>015</v>
      </c>
      <c r="D148" s="1" t="str">
        <f>"CHILD DEVELOPMENT SERVICES"</f>
        <v>CHILD DEVELOPMENT SERVICES</v>
      </c>
      <c r="E148" s="1" t="str">
        <f>"001"</f>
        <v>001</v>
      </c>
      <c r="F148" s="1" t="str">
        <f>"CHILD DEVELOPMENT SERVICES BUILDING"</f>
        <v>CHILD DEVELOPMENT SERVICES BUILDING</v>
      </c>
      <c r="G148" s="1" t="str">
        <f>"2802 4TH STREET"</f>
        <v>2802 4TH STREET</v>
      </c>
      <c r="H148" s="1" t="str">
        <f t="shared" si="40"/>
        <v>SANTA MONICA</v>
      </c>
      <c r="I148" s="1" t="str">
        <f t="shared" si="41"/>
        <v>CA</v>
      </c>
      <c r="J148" s="1" t="str">
        <f t="shared" si="37"/>
        <v>90405</v>
      </c>
      <c r="K148" s="1">
        <v>1946</v>
      </c>
      <c r="L148" s="1">
        <v>10100</v>
      </c>
      <c r="M148" s="1">
        <v>3191000</v>
      </c>
      <c r="N148" s="1">
        <v>0</v>
      </c>
      <c r="O148" s="1">
        <f t="shared" si="42"/>
        <v>3191000</v>
      </c>
      <c r="P148" s="1">
        <v>5685</v>
      </c>
      <c r="Q148" s="11">
        <v>42326</v>
      </c>
    </row>
    <row r="149" spans="1:17" x14ac:dyDescent="0.25">
      <c r="A149" s="8" t="str">
        <f t="shared" si="38"/>
        <v>042</v>
      </c>
      <c r="B149" s="1" t="str">
        <f t="shared" si="39"/>
        <v>SANTA MONICA-MALIBU UNIFIED SCHOOL DISTRICT</v>
      </c>
      <c r="C149" s="1" t="str">
        <f>"015"</f>
        <v>015</v>
      </c>
      <c r="D149" s="1" t="str">
        <f>"CHILD DEVELOPMENT SERVICES"</f>
        <v>CHILD DEVELOPMENT SERVICES</v>
      </c>
      <c r="E149" s="1" t="str">
        <f>"002"</f>
        <v>002</v>
      </c>
      <c r="F149" s="1" t="str">
        <f>"MULTIPURPOSE/CLASSROOM BUILDING"</f>
        <v>MULTIPURPOSE/CLASSROOM BUILDING</v>
      </c>
      <c r="G149" s="1" t="str">
        <f>"2803 4TH STREET"</f>
        <v>2803 4TH STREET</v>
      </c>
      <c r="H149" s="1" t="str">
        <f t="shared" si="40"/>
        <v>SANTA MONICA</v>
      </c>
      <c r="I149" s="1" t="str">
        <f t="shared" si="41"/>
        <v>CA</v>
      </c>
      <c r="J149" s="1" t="str">
        <f t="shared" si="37"/>
        <v>90405</v>
      </c>
      <c r="K149" s="1">
        <v>1946</v>
      </c>
      <c r="L149" s="1">
        <v>7972</v>
      </c>
      <c r="M149" s="1">
        <v>2172000</v>
      </c>
      <c r="N149" s="1">
        <v>251000</v>
      </c>
      <c r="O149" s="1">
        <f t="shared" si="42"/>
        <v>2423000</v>
      </c>
      <c r="P149" s="1">
        <v>0</v>
      </c>
      <c r="Q149" s="11">
        <v>42326</v>
      </c>
    </row>
    <row r="150" spans="1:17" x14ac:dyDescent="0.25">
      <c r="A150" s="8" t="str">
        <f t="shared" si="38"/>
        <v>042</v>
      </c>
      <c r="B150" s="1" t="str">
        <f t="shared" si="39"/>
        <v>SANTA MONICA-MALIBU UNIFIED SCHOOL DISTRICT</v>
      </c>
      <c r="C150" s="1" t="str">
        <f>"015"</f>
        <v>015</v>
      </c>
      <c r="D150" s="1" t="str">
        <f>"CHILD DEVELOPMENT SERVICES"</f>
        <v>CHILD DEVELOPMENT SERVICES</v>
      </c>
      <c r="E150" s="1" t="str">
        <f>"003"</f>
        <v>003</v>
      </c>
      <c r="F150" s="1" t="str">
        <f>"CLASSROOM BUILDING RMS 1-3"</f>
        <v>CLASSROOM BUILDING RMS 1-3</v>
      </c>
      <c r="G150" s="1" t="str">
        <f>"2804 4TH STREET"</f>
        <v>2804 4TH STREET</v>
      </c>
      <c r="H150" s="1" t="str">
        <f t="shared" si="40"/>
        <v>SANTA MONICA</v>
      </c>
      <c r="I150" s="1" t="str">
        <f t="shared" si="41"/>
        <v>CA</v>
      </c>
      <c r="J150" s="1" t="str">
        <f t="shared" si="37"/>
        <v>90405</v>
      </c>
      <c r="K150" s="1">
        <v>1946</v>
      </c>
      <c r="L150" s="1">
        <v>2280</v>
      </c>
      <c r="M150" s="1">
        <v>612000</v>
      </c>
      <c r="N150" s="1">
        <v>69000</v>
      </c>
      <c r="O150" s="1">
        <f t="shared" si="42"/>
        <v>681000</v>
      </c>
      <c r="P150" s="1">
        <v>0</v>
      </c>
      <c r="Q150" s="11">
        <v>42326</v>
      </c>
    </row>
    <row r="151" spans="1:17" x14ac:dyDescent="0.25">
      <c r="A151" s="8" t="str">
        <f t="shared" si="38"/>
        <v>042</v>
      </c>
      <c r="B151" s="1" t="str">
        <f t="shared" si="39"/>
        <v>SANTA MONICA-MALIBU UNIFIED SCHOOL DISTRICT</v>
      </c>
      <c r="C151" s="1" t="str">
        <f>"015"</f>
        <v>015</v>
      </c>
      <c r="D151" s="1" t="str">
        <f>"CHILD DEVELOPMENT SERVICES"</f>
        <v>CHILD DEVELOPMENT SERVICES</v>
      </c>
      <c r="E151" s="1" t="str">
        <f>"099"</f>
        <v>099</v>
      </c>
      <c r="F151" s="1" t="str">
        <f>"COVERED PASSAGES"</f>
        <v>COVERED PASSAGES</v>
      </c>
      <c r="G151" s="1" t="str">
        <f>"2805 4TH STREET"</f>
        <v>2805 4TH STREET</v>
      </c>
      <c r="H151" s="1" t="str">
        <f t="shared" si="40"/>
        <v>SANTA MONICA</v>
      </c>
      <c r="I151" s="1" t="str">
        <f t="shared" si="41"/>
        <v>CA</v>
      </c>
      <c r="J151" s="1" t="str">
        <f t="shared" si="37"/>
        <v>90405</v>
      </c>
      <c r="K151" s="1">
        <v>1946</v>
      </c>
      <c r="L151" s="1">
        <v>1357</v>
      </c>
      <c r="M151" s="1">
        <v>42000</v>
      </c>
      <c r="N151" s="1">
        <v>0</v>
      </c>
      <c r="O151" s="1">
        <f t="shared" si="42"/>
        <v>42000</v>
      </c>
      <c r="P151" s="1">
        <v>0</v>
      </c>
      <c r="Q151" s="11">
        <v>42327</v>
      </c>
    </row>
    <row r="152" spans="1:17" x14ac:dyDescent="0.25">
      <c r="A152" s="8" t="str">
        <f t="shared" si="38"/>
        <v>042</v>
      </c>
      <c r="B152" s="1" t="str">
        <f t="shared" si="39"/>
        <v>SANTA MONICA-MALIBU UNIFIED SCHOOL DISTRICT</v>
      </c>
      <c r="C152" s="1" t="str">
        <f t="shared" ref="C152:C171" si="45">"012"</f>
        <v>012</v>
      </c>
      <c r="D152" s="1" t="str">
        <f t="shared" ref="D152:D171" si="46">"MALIBU HIGH SCHOOL"</f>
        <v>MALIBU HIGH SCHOOL</v>
      </c>
      <c r="E152" s="1" t="str">
        <f>"012"</f>
        <v>012</v>
      </c>
      <c r="F152" s="1" t="str">
        <f>"POOL BUILDING"</f>
        <v>POOL BUILDING</v>
      </c>
      <c r="G152" s="1" t="str">
        <f t="shared" ref="G152:G171" si="47">"30215 MORNING VIEW DRIVE"</f>
        <v>30215 MORNING VIEW DRIVE</v>
      </c>
      <c r="H152" s="1" t="str">
        <f t="shared" ref="H152:H199" si="48">"MALIBU"</f>
        <v>MALIBU</v>
      </c>
      <c r="I152" s="1" t="str">
        <f t="shared" si="41"/>
        <v>CA</v>
      </c>
      <c r="J152" s="1" t="str">
        <f t="shared" ref="J152:J199" si="49">"90265"</f>
        <v>90265</v>
      </c>
      <c r="K152" s="1">
        <v>1966</v>
      </c>
      <c r="L152" s="1">
        <v>648</v>
      </c>
      <c r="M152" s="1">
        <v>151000</v>
      </c>
      <c r="N152" s="1">
        <v>27000</v>
      </c>
      <c r="O152" s="1">
        <f t="shared" si="42"/>
        <v>178000</v>
      </c>
      <c r="P152" s="1">
        <v>0</v>
      </c>
      <c r="Q152" s="11">
        <v>42328</v>
      </c>
    </row>
    <row r="153" spans="1:17" x14ac:dyDescent="0.25">
      <c r="A153" s="8" t="str">
        <f t="shared" si="38"/>
        <v>042</v>
      </c>
      <c r="B153" s="1" t="str">
        <f t="shared" si="39"/>
        <v>SANTA MONICA-MALIBU UNIFIED SCHOOL DISTRICT</v>
      </c>
      <c r="C153" s="1" t="str">
        <f t="shared" si="45"/>
        <v>012</v>
      </c>
      <c r="D153" s="1" t="str">
        <f t="shared" si="46"/>
        <v>MALIBU HIGH SCHOOL</v>
      </c>
      <c r="E153" s="1" t="str">
        <f>"015"</f>
        <v>015</v>
      </c>
      <c r="F153" s="1" t="str">
        <f>"RESTROOM BUILDING"</f>
        <v>RESTROOM BUILDING</v>
      </c>
      <c r="G153" s="1" t="str">
        <f t="shared" si="47"/>
        <v>30215 MORNING VIEW DRIVE</v>
      </c>
      <c r="H153" s="1" t="str">
        <f t="shared" si="48"/>
        <v>MALIBU</v>
      </c>
      <c r="I153" s="1" t="str">
        <f t="shared" si="41"/>
        <v>CA</v>
      </c>
      <c r="J153" s="1" t="str">
        <f t="shared" si="49"/>
        <v>90265</v>
      </c>
      <c r="K153" s="1">
        <v>2012</v>
      </c>
      <c r="L153" s="1">
        <v>747</v>
      </c>
      <c r="M153" s="1">
        <v>237000</v>
      </c>
      <c r="N153" s="1">
        <v>4000</v>
      </c>
      <c r="O153" s="1">
        <f t="shared" si="42"/>
        <v>241000</v>
      </c>
      <c r="P153" s="1">
        <v>0</v>
      </c>
      <c r="Q153" s="11">
        <v>42328</v>
      </c>
    </row>
    <row r="154" spans="1:17" x14ac:dyDescent="0.25">
      <c r="A154" s="8" t="str">
        <f t="shared" si="38"/>
        <v>042</v>
      </c>
      <c r="B154" s="1" t="str">
        <f t="shared" si="39"/>
        <v>SANTA MONICA-MALIBU UNIFIED SCHOOL DISTRICT</v>
      </c>
      <c r="C154" s="1" t="str">
        <f t="shared" si="45"/>
        <v>012</v>
      </c>
      <c r="D154" s="1" t="str">
        <f t="shared" si="46"/>
        <v>MALIBU HIGH SCHOOL</v>
      </c>
      <c r="E154" s="1" t="str">
        <f>"009"</f>
        <v>009</v>
      </c>
      <c r="F154" s="1" t="str">
        <f>"GYMNASIUM BUILDING"</f>
        <v>GYMNASIUM BUILDING</v>
      </c>
      <c r="G154" s="1" t="str">
        <f t="shared" si="47"/>
        <v>30215 MORNING VIEW DRIVE</v>
      </c>
      <c r="H154" s="1" t="str">
        <f t="shared" si="48"/>
        <v>MALIBU</v>
      </c>
      <c r="I154" s="1" t="str">
        <f t="shared" si="41"/>
        <v>CA</v>
      </c>
      <c r="J154" s="1" t="str">
        <f t="shared" si="49"/>
        <v>90265</v>
      </c>
      <c r="K154" s="1">
        <v>2002</v>
      </c>
      <c r="L154" s="1">
        <v>39430</v>
      </c>
      <c r="M154" s="1">
        <v>12425000</v>
      </c>
      <c r="N154" s="1">
        <v>352000</v>
      </c>
      <c r="O154" s="1">
        <f t="shared" si="42"/>
        <v>12777000</v>
      </c>
      <c r="P154" s="1">
        <v>0</v>
      </c>
      <c r="Q154" s="11">
        <v>42328</v>
      </c>
    </row>
    <row r="155" spans="1:17" x14ac:dyDescent="0.25">
      <c r="A155" s="8" t="str">
        <f t="shared" si="38"/>
        <v>042</v>
      </c>
      <c r="B155" s="1" t="str">
        <f t="shared" si="39"/>
        <v>SANTA MONICA-MALIBU UNIFIED SCHOOL DISTRICT</v>
      </c>
      <c r="C155" s="1" t="str">
        <f t="shared" si="45"/>
        <v>012</v>
      </c>
      <c r="D155" s="1" t="str">
        <f t="shared" si="46"/>
        <v>MALIBU HIGH SCHOOL</v>
      </c>
      <c r="E155" s="1" t="str">
        <f>"011"</f>
        <v>011</v>
      </c>
      <c r="F155" s="1" t="str">
        <f>"CLASSROOM BUILDING RMS 604-606"</f>
        <v>CLASSROOM BUILDING RMS 604-606</v>
      </c>
      <c r="G155" s="1" t="str">
        <f t="shared" si="47"/>
        <v>30215 MORNING VIEW DRIVE</v>
      </c>
      <c r="H155" s="1" t="str">
        <f t="shared" si="48"/>
        <v>MALIBU</v>
      </c>
      <c r="I155" s="1" t="str">
        <f t="shared" si="41"/>
        <v>CA</v>
      </c>
      <c r="J155" s="1" t="str">
        <f t="shared" si="49"/>
        <v>90265</v>
      </c>
      <c r="K155" s="1">
        <v>2003</v>
      </c>
      <c r="L155" s="1">
        <v>6720</v>
      </c>
      <c r="M155" s="1">
        <v>1798000</v>
      </c>
      <c r="N155" s="1">
        <v>202000</v>
      </c>
      <c r="O155" s="1">
        <f t="shared" si="42"/>
        <v>2000000</v>
      </c>
      <c r="P155" s="1">
        <v>0</v>
      </c>
      <c r="Q155" s="11">
        <v>42328</v>
      </c>
    </row>
    <row r="156" spans="1:17" x14ac:dyDescent="0.25">
      <c r="A156" s="8" t="str">
        <f t="shared" si="38"/>
        <v>042</v>
      </c>
      <c r="B156" s="1" t="str">
        <f t="shared" si="39"/>
        <v>SANTA MONICA-MALIBU UNIFIED SCHOOL DISTRICT</v>
      </c>
      <c r="C156" s="1" t="str">
        <f t="shared" si="45"/>
        <v>012</v>
      </c>
      <c r="D156" s="1" t="str">
        <f t="shared" si="46"/>
        <v>MALIBU HIGH SCHOOL</v>
      </c>
      <c r="E156" s="1" t="str">
        <f>"010"</f>
        <v>010</v>
      </c>
      <c r="F156" s="1" t="str">
        <f>"CLASSRM BUILDING RMS 601-603,621-623"</f>
        <v>CLASSRM BUILDING RMS 601-603,621-623</v>
      </c>
      <c r="G156" s="1" t="str">
        <f t="shared" si="47"/>
        <v>30215 MORNING VIEW DRIVE</v>
      </c>
      <c r="H156" s="1" t="str">
        <f t="shared" si="48"/>
        <v>MALIBU</v>
      </c>
      <c r="I156" s="1" t="str">
        <f t="shared" si="41"/>
        <v>CA</v>
      </c>
      <c r="J156" s="1" t="str">
        <f t="shared" si="49"/>
        <v>90265</v>
      </c>
      <c r="K156" s="1">
        <v>2003</v>
      </c>
      <c r="L156" s="1">
        <v>5760</v>
      </c>
      <c r="M156" s="1">
        <v>1833000</v>
      </c>
      <c r="N156" s="1">
        <v>173000</v>
      </c>
      <c r="O156" s="1">
        <f t="shared" si="42"/>
        <v>2006000</v>
      </c>
      <c r="P156" s="1">
        <v>0</v>
      </c>
      <c r="Q156" s="11">
        <v>42328</v>
      </c>
    </row>
    <row r="157" spans="1:17" x14ac:dyDescent="0.25">
      <c r="A157" s="8" t="str">
        <f t="shared" si="38"/>
        <v>042</v>
      </c>
      <c r="B157" s="1" t="str">
        <f t="shared" si="39"/>
        <v>SANTA MONICA-MALIBU UNIFIED SCHOOL DISTRICT</v>
      </c>
      <c r="C157" s="1" t="str">
        <f t="shared" si="45"/>
        <v>012</v>
      </c>
      <c r="D157" s="1" t="str">
        <f t="shared" si="46"/>
        <v>MALIBU HIGH SCHOOL</v>
      </c>
      <c r="E157" s="1" t="str">
        <f>"002"</f>
        <v>002</v>
      </c>
      <c r="F157" s="1" t="str">
        <f>"AUDITORIUM/CAFETERIA BUILDING H"</f>
        <v>AUDITORIUM/CAFETERIA BUILDING H</v>
      </c>
      <c r="G157" s="1" t="str">
        <f t="shared" si="47"/>
        <v>30215 MORNING VIEW DRIVE</v>
      </c>
      <c r="H157" s="1" t="str">
        <f t="shared" si="48"/>
        <v>MALIBU</v>
      </c>
      <c r="I157" s="1" t="str">
        <f t="shared" si="41"/>
        <v>CA</v>
      </c>
      <c r="J157" s="1" t="str">
        <f t="shared" si="49"/>
        <v>90265</v>
      </c>
      <c r="K157" s="1">
        <v>1963</v>
      </c>
      <c r="L157" s="1">
        <v>13603</v>
      </c>
      <c r="M157" s="1">
        <v>4721000</v>
      </c>
      <c r="N157" s="1">
        <v>428000</v>
      </c>
      <c r="O157" s="1">
        <f t="shared" si="42"/>
        <v>5149000</v>
      </c>
      <c r="P157" s="1">
        <v>0</v>
      </c>
      <c r="Q157" s="11">
        <v>42328</v>
      </c>
    </row>
    <row r="158" spans="1:17" x14ac:dyDescent="0.25">
      <c r="A158" s="8" t="str">
        <f t="shared" si="38"/>
        <v>042</v>
      </c>
      <c r="B158" s="1" t="str">
        <f t="shared" si="39"/>
        <v>SANTA MONICA-MALIBU UNIFIED SCHOOL DISTRICT</v>
      </c>
      <c r="C158" s="1" t="str">
        <f t="shared" si="45"/>
        <v>012</v>
      </c>
      <c r="D158" s="1" t="str">
        <f t="shared" si="46"/>
        <v>MALIBU HIGH SCHOOL</v>
      </c>
      <c r="E158" s="1" t="str">
        <f>"006"</f>
        <v>006</v>
      </c>
      <c r="F158" s="1" t="str">
        <f>"MUSIC BUILDING F"</f>
        <v>MUSIC BUILDING F</v>
      </c>
      <c r="G158" s="1" t="str">
        <f t="shared" si="47"/>
        <v>30215 MORNING VIEW DRIVE</v>
      </c>
      <c r="H158" s="1" t="str">
        <f t="shared" si="48"/>
        <v>MALIBU</v>
      </c>
      <c r="I158" s="1" t="str">
        <f t="shared" si="41"/>
        <v>CA</v>
      </c>
      <c r="J158" s="1" t="str">
        <f t="shared" si="49"/>
        <v>90265</v>
      </c>
      <c r="K158" s="1">
        <v>1963</v>
      </c>
      <c r="L158" s="1">
        <v>6802</v>
      </c>
      <c r="M158" s="1">
        <v>1551000</v>
      </c>
      <c r="N158" s="1">
        <v>262000</v>
      </c>
      <c r="O158" s="1">
        <f t="shared" si="42"/>
        <v>1813000</v>
      </c>
      <c r="P158" s="1">
        <v>0</v>
      </c>
      <c r="Q158" s="11">
        <v>42328</v>
      </c>
    </row>
    <row r="159" spans="1:17" x14ac:dyDescent="0.25">
      <c r="A159" s="8" t="str">
        <f t="shared" si="38"/>
        <v>042</v>
      </c>
      <c r="B159" s="1" t="str">
        <f t="shared" si="39"/>
        <v>SANTA MONICA-MALIBU UNIFIED SCHOOL DISTRICT</v>
      </c>
      <c r="C159" s="1" t="str">
        <f t="shared" si="45"/>
        <v>012</v>
      </c>
      <c r="D159" s="1" t="str">
        <f t="shared" si="46"/>
        <v>MALIBU HIGH SCHOOL</v>
      </c>
      <c r="E159" s="1" t="str">
        <f>"008"</f>
        <v>008</v>
      </c>
      <c r="F159" s="1" t="str">
        <f>"CLASSROOM BUILDING I"</f>
        <v>CLASSROOM BUILDING I</v>
      </c>
      <c r="G159" s="1" t="str">
        <f t="shared" si="47"/>
        <v>30215 MORNING VIEW DRIVE</v>
      </c>
      <c r="H159" s="1" t="str">
        <f t="shared" si="48"/>
        <v>MALIBU</v>
      </c>
      <c r="I159" s="1" t="str">
        <f t="shared" si="41"/>
        <v>CA</v>
      </c>
      <c r="J159" s="1" t="str">
        <f t="shared" si="49"/>
        <v>90265</v>
      </c>
      <c r="K159" s="1">
        <v>1963</v>
      </c>
      <c r="L159" s="1">
        <v>4544</v>
      </c>
      <c r="M159" s="1">
        <v>1006000</v>
      </c>
      <c r="N159" s="1">
        <v>137000</v>
      </c>
      <c r="O159" s="1">
        <f t="shared" si="42"/>
        <v>1143000</v>
      </c>
      <c r="P159" s="1">
        <v>0</v>
      </c>
      <c r="Q159" s="11">
        <v>42328</v>
      </c>
    </row>
    <row r="160" spans="1:17" x14ac:dyDescent="0.25">
      <c r="A160" s="8" t="str">
        <f t="shared" si="38"/>
        <v>042</v>
      </c>
      <c r="B160" s="1" t="str">
        <f t="shared" si="39"/>
        <v>SANTA MONICA-MALIBU UNIFIED SCHOOL DISTRICT</v>
      </c>
      <c r="C160" s="1" t="str">
        <f t="shared" si="45"/>
        <v>012</v>
      </c>
      <c r="D160" s="1" t="str">
        <f t="shared" si="46"/>
        <v>MALIBU HIGH SCHOOL</v>
      </c>
      <c r="E160" s="1" t="str">
        <f>"007"</f>
        <v>007</v>
      </c>
      <c r="F160" s="1" t="str">
        <f>"INDUSTRIAL ART BUILDING G"</f>
        <v>INDUSTRIAL ART BUILDING G</v>
      </c>
      <c r="G160" s="1" t="str">
        <f t="shared" si="47"/>
        <v>30215 MORNING VIEW DRIVE</v>
      </c>
      <c r="H160" s="1" t="str">
        <f t="shared" si="48"/>
        <v>MALIBU</v>
      </c>
      <c r="I160" s="1" t="str">
        <f t="shared" si="41"/>
        <v>CA</v>
      </c>
      <c r="J160" s="1" t="str">
        <f t="shared" si="49"/>
        <v>90265</v>
      </c>
      <c r="K160" s="1">
        <v>1963</v>
      </c>
      <c r="L160" s="1">
        <v>10035</v>
      </c>
      <c r="M160" s="1">
        <v>2205000</v>
      </c>
      <c r="N160" s="1">
        <v>302000</v>
      </c>
      <c r="O160" s="1">
        <f t="shared" si="42"/>
        <v>2507000</v>
      </c>
      <c r="P160" s="1">
        <v>0</v>
      </c>
      <c r="Q160" s="11">
        <v>42328</v>
      </c>
    </row>
    <row r="161" spans="1:17" x14ac:dyDescent="0.25">
      <c r="A161" s="8" t="str">
        <f t="shared" si="38"/>
        <v>042</v>
      </c>
      <c r="B161" s="1" t="str">
        <f t="shared" si="39"/>
        <v>SANTA MONICA-MALIBU UNIFIED SCHOOL DISTRICT</v>
      </c>
      <c r="C161" s="1" t="str">
        <f t="shared" si="45"/>
        <v>012</v>
      </c>
      <c r="D161" s="1" t="str">
        <f t="shared" si="46"/>
        <v>MALIBU HIGH SCHOOL</v>
      </c>
      <c r="E161" s="1" t="str">
        <f>"004"</f>
        <v>004</v>
      </c>
      <c r="F161" s="1" t="str">
        <f>"CLASSROOM BUILDING D"</f>
        <v>CLASSROOM BUILDING D</v>
      </c>
      <c r="G161" s="1" t="str">
        <f t="shared" si="47"/>
        <v>30215 MORNING VIEW DRIVE</v>
      </c>
      <c r="H161" s="1" t="str">
        <f t="shared" si="48"/>
        <v>MALIBU</v>
      </c>
      <c r="I161" s="1" t="str">
        <f t="shared" si="41"/>
        <v>CA</v>
      </c>
      <c r="J161" s="1" t="str">
        <f t="shared" si="49"/>
        <v>90265</v>
      </c>
      <c r="K161" s="1">
        <v>1963</v>
      </c>
      <c r="L161" s="1">
        <v>26938</v>
      </c>
      <c r="M161" s="1">
        <v>7046000</v>
      </c>
      <c r="N161" s="1">
        <v>809000</v>
      </c>
      <c r="O161" s="1">
        <f t="shared" si="42"/>
        <v>7855000</v>
      </c>
      <c r="P161" s="1">
        <v>0</v>
      </c>
      <c r="Q161" s="11">
        <v>42328</v>
      </c>
    </row>
    <row r="162" spans="1:17" x14ac:dyDescent="0.25">
      <c r="A162" s="8" t="str">
        <f t="shared" si="38"/>
        <v>042</v>
      </c>
      <c r="B162" s="1" t="str">
        <f t="shared" si="39"/>
        <v>SANTA MONICA-MALIBU UNIFIED SCHOOL DISTRICT</v>
      </c>
      <c r="C162" s="1" t="str">
        <f t="shared" si="45"/>
        <v>012</v>
      </c>
      <c r="D162" s="1" t="str">
        <f t="shared" si="46"/>
        <v>MALIBU HIGH SCHOOL</v>
      </c>
      <c r="E162" s="1" t="str">
        <f>"013"</f>
        <v>013</v>
      </c>
      <c r="F162" s="1" t="str">
        <f>"RESTROOM BUILDING"</f>
        <v>RESTROOM BUILDING</v>
      </c>
      <c r="G162" s="1" t="str">
        <f t="shared" si="47"/>
        <v>30215 MORNING VIEW DRIVE</v>
      </c>
      <c r="H162" s="1" t="str">
        <f t="shared" si="48"/>
        <v>MALIBU</v>
      </c>
      <c r="I162" s="1" t="str">
        <f t="shared" si="41"/>
        <v>CA</v>
      </c>
      <c r="J162" s="1" t="str">
        <f t="shared" si="49"/>
        <v>90265</v>
      </c>
      <c r="K162" s="1">
        <v>1963</v>
      </c>
      <c r="L162" s="1">
        <v>420</v>
      </c>
      <c r="M162" s="1">
        <v>161000</v>
      </c>
      <c r="N162" s="1">
        <v>2000</v>
      </c>
      <c r="O162" s="1">
        <f t="shared" si="42"/>
        <v>163000</v>
      </c>
      <c r="P162" s="1">
        <v>0</v>
      </c>
      <c r="Q162" s="11">
        <v>42328</v>
      </c>
    </row>
    <row r="163" spans="1:17" x14ac:dyDescent="0.25">
      <c r="A163" s="8" t="str">
        <f t="shared" si="38"/>
        <v>042</v>
      </c>
      <c r="B163" s="1" t="str">
        <f t="shared" si="39"/>
        <v>SANTA MONICA-MALIBU UNIFIED SCHOOL DISTRICT</v>
      </c>
      <c r="C163" s="1" t="str">
        <f t="shared" si="45"/>
        <v>012</v>
      </c>
      <c r="D163" s="1" t="str">
        <f t="shared" si="46"/>
        <v>MALIBU HIGH SCHOOL</v>
      </c>
      <c r="E163" s="1" t="str">
        <f>"014"</f>
        <v>014</v>
      </c>
      <c r="F163" s="1" t="str">
        <f>"STUDENT STORE BUILDING"</f>
        <v>STUDENT STORE BUILDING</v>
      </c>
      <c r="G163" s="1" t="str">
        <f t="shared" si="47"/>
        <v>30215 MORNING VIEW DRIVE</v>
      </c>
      <c r="H163" s="1" t="str">
        <f t="shared" si="48"/>
        <v>MALIBU</v>
      </c>
      <c r="I163" s="1" t="str">
        <f t="shared" si="41"/>
        <v>CA</v>
      </c>
      <c r="J163" s="1" t="str">
        <f t="shared" si="49"/>
        <v>90265</v>
      </c>
      <c r="K163" s="1">
        <v>1963</v>
      </c>
      <c r="L163" s="1">
        <v>490</v>
      </c>
      <c r="M163" s="1">
        <v>152000</v>
      </c>
      <c r="N163" s="1">
        <v>6000</v>
      </c>
      <c r="O163" s="1">
        <f t="shared" si="42"/>
        <v>158000</v>
      </c>
      <c r="P163" s="1">
        <v>0</v>
      </c>
      <c r="Q163" s="11">
        <v>42328</v>
      </c>
    </row>
    <row r="164" spans="1:17" x14ac:dyDescent="0.25">
      <c r="A164" s="8" t="str">
        <f t="shared" si="38"/>
        <v>042</v>
      </c>
      <c r="B164" s="1" t="str">
        <f t="shared" si="39"/>
        <v>SANTA MONICA-MALIBU UNIFIED SCHOOL DISTRICT</v>
      </c>
      <c r="C164" s="1" t="str">
        <f t="shared" si="45"/>
        <v>012</v>
      </c>
      <c r="D164" s="1" t="str">
        <f t="shared" si="46"/>
        <v>MALIBU HIGH SCHOOL</v>
      </c>
      <c r="E164" s="1" t="str">
        <f>"099"</f>
        <v>099</v>
      </c>
      <c r="F164" s="1" t="str">
        <f>"COVERED PASSAGES"</f>
        <v>COVERED PASSAGES</v>
      </c>
      <c r="G164" s="1" t="str">
        <f t="shared" si="47"/>
        <v>30215 MORNING VIEW DRIVE</v>
      </c>
      <c r="H164" s="1" t="str">
        <f t="shared" si="48"/>
        <v>MALIBU</v>
      </c>
      <c r="I164" s="1" t="str">
        <f t="shared" si="41"/>
        <v>CA</v>
      </c>
      <c r="J164" s="1" t="str">
        <f t="shared" si="49"/>
        <v>90265</v>
      </c>
      <c r="K164" s="1">
        <v>1966</v>
      </c>
      <c r="L164" s="1">
        <v>6390</v>
      </c>
      <c r="M164" s="1">
        <v>184000</v>
      </c>
      <c r="N164" s="1">
        <v>0</v>
      </c>
      <c r="O164" s="1">
        <f t="shared" si="42"/>
        <v>184000</v>
      </c>
      <c r="P164" s="1">
        <v>0</v>
      </c>
      <c r="Q164" s="11">
        <v>42328</v>
      </c>
    </row>
    <row r="165" spans="1:17" x14ac:dyDescent="0.25">
      <c r="A165" s="8" t="str">
        <f t="shared" si="38"/>
        <v>042</v>
      </c>
      <c r="B165" s="1" t="str">
        <f t="shared" si="39"/>
        <v>SANTA MONICA-MALIBU UNIFIED SCHOOL DISTRICT</v>
      </c>
      <c r="C165" s="1" t="str">
        <f t="shared" si="45"/>
        <v>012</v>
      </c>
      <c r="D165" s="1" t="str">
        <f t="shared" si="46"/>
        <v>MALIBU HIGH SCHOOL</v>
      </c>
      <c r="E165" s="1" t="str">
        <f>"901"</f>
        <v>901</v>
      </c>
      <c r="F165" s="1" t="str">
        <f>"PORTABLE CLASSROOM BUILDING RM 511"</f>
        <v>PORTABLE CLASSROOM BUILDING RM 511</v>
      </c>
      <c r="G165" s="1" t="str">
        <f t="shared" si="47"/>
        <v>30215 MORNING VIEW DRIVE</v>
      </c>
      <c r="H165" s="1" t="str">
        <f t="shared" si="48"/>
        <v>MALIBU</v>
      </c>
      <c r="I165" s="1" t="str">
        <f t="shared" si="41"/>
        <v>CA</v>
      </c>
      <c r="J165" s="1" t="str">
        <f t="shared" si="49"/>
        <v>90265</v>
      </c>
      <c r="K165" s="1">
        <v>1998</v>
      </c>
      <c r="L165" s="1">
        <v>960</v>
      </c>
      <c r="M165" s="1">
        <v>96000</v>
      </c>
      <c r="N165" s="1">
        <v>21000</v>
      </c>
      <c r="O165" s="1">
        <f t="shared" si="42"/>
        <v>117000</v>
      </c>
      <c r="P165" s="1">
        <v>0</v>
      </c>
      <c r="Q165" s="11">
        <v>42328</v>
      </c>
    </row>
    <row r="166" spans="1:17" x14ac:dyDescent="0.25">
      <c r="A166" s="8" t="str">
        <f t="shared" si="38"/>
        <v>042</v>
      </c>
      <c r="B166" s="1" t="str">
        <f t="shared" si="39"/>
        <v>SANTA MONICA-MALIBU UNIFIED SCHOOL DISTRICT</v>
      </c>
      <c r="C166" s="1" t="str">
        <f t="shared" si="45"/>
        <v>012</v>
      </c>
      <c r="D166" s="1" t="str">
        <f t="shared" si="46"/>
        <v>MALIBU HIGH SCHOOL</v>
      </c>
      <c r="E166" s="1" t="str">
        <f>"902"</f>
        <v>902</v>
      </c>
      <c r="F166" s="1" t="str">
        <f>"PORTABLE CLASSROOM BUILDING RM 512"</f>
        <v>PORTABLE CLASSROOM BUILDING RM 512</v>
      </c>
      <c r="G166" s="1" t="str">
        <f t="shared" si="47"/>
        <v>30215 MORNING VIEW DRIVE</v>
      </c>
      <c r="H166" s="1" t="str">
        <f t="shared" si="48"/>
        <v>MALIBU</v>
      </c>
      <c r="I166" s="1" t="str">
        <f t="shared" si="41"/>
        <v>CA</v>
      </c>
      <c r="J166" s="1" t="str">
        <f t="shared" si="49"/>
        <v>90265</v>
      </c>
      <c r="K166" s="1">
        <v>1998</v>
      </c>
      <c r="L166" s="1">
        <v>960</v>
      </c>
      <c r="M166" s="1">
        <v>96000</v>
      </c>
      <c r="N166" s="1">
        <v>21000</v>
      </c>
      <c r="O166" s="1">
        <f t="shared" si="42"/>
        <v>117000</v>
      </c>
      <c r="P166" s="1">
        <v>0</v>
      </c>
      <c r="Q166" s="11">
        <v>42328</v>
      </c>
    </row>
    <row r="167" spans="1:17" x14ac:dyDescent="0.25">
      <c r="A167" s="8" t="str">
        <f t="shared" si="38"/>
        <v>042</v>
      </c>
      <c r="B167" s="1" t="str">
        <f t="shared" si="39"/>
        <v>SANTA MONICA-MALIBU UNIFIED SCHOOL DISTRICT</v>
      </c>
      <c r="C167" s="1" t="str">
        <f t="shared" si="45"/>
        <v>012</v>
      </c>
      <c r="D167" s="1" t="str">
        <f t="shared" si="46"/>
        <v>MALIBU HIGH SCHOOL</v>
      </c>
      <c r="E167" s="1" t="str">
        <f>"903"</f>
        <v>903</v>
      </c>
      <c r="F167" s="1" t="str">
        <f>"PORTABLE CLASSROOM BUILDING RM 513"</f>
        <v>PORTABLE CLASSROOM BUILDING RM 513</v>
      </c>
      <c r="G167" s="1" t="str">
        <f t="shared" si="47"/>
        <v>30215 MORNING VIEW DRIVE</v>
      </c>
      <c r="H167" s="1" t="str">
        <f t="shared" si="48"/>
        <v>MALIBU</v>
      </c>
      <c r="I167" s="1" t="str">
        <f t="shared" si="41"/>
        <v>CA</v>
      </c>
      <c r="J167" s="1" t="str">
        <f t="shared" si="49"/>
        <v>90265</v>
      </c>
      <c r="K167" s="1">
        <v>1998</v>
      </c>
      <c r="L167" s="1">
        <v>960</v>
      </c>
      <c r="M167" s="1">
        <v>96000</v>
      </c>
      <c r="N167" s="1">
        <v>21000</v>
      </c>
      <c r="O167" s="1">
        <f t="shared" si="42"/>
        <v>117000</v>
      </c>
      <c r="P167" s="1">
        <v>0</v>
      </c>
      <c r="Q167" s="11">
        <v>42328</v>
      </c>
    </row>
    <row r="168" spans="1:17" x14ac:dyDescent="0.25">
      <c r="A168" s="8" t="str">
        <f t="shared" si="38"/>
        <v>042</v>
      </c>
      <c r="B168" s="1" t="str">
        <f t="shared" si="39"/>
        <v>SANTA MONICA-MALIBU UNIFIED SCHOOL DISTRICT</v>
      </c>
      <c r="C168" s="1" t="str">
        <f t="shared" si="45"/>
        <v>012</v>
      </c>
      <c r="D168" s="1" t="str">
        <f t="shared" si="46"/>
        <v>MALIBU HIGH SCHOOL</v>
      </c>
      <c r="E168" s="1" t="str">
        <f>"904"</f>
        <v>904</v>
      </c>
      <c r="F168" s="1" t="str">
        <f>"PORTABLE CLASSROOM BUILDING RM PE COACH"</f>
        <v>PORTABLE CLASSROOM BUILDING RM PE COACH</v>
      </c>
      <c r="G168" s="1" t="str">
        <f t="shared" si="47"/>
        <v>30215 MORNING VIEW DRIVE</v>
      </c>
      <c r="H168" s="1" t="str">
        <f t="shared" si="48"/>
        <v>MALIBU</v>
      </c>
      <c r="I168" s="1" t="str">
        <f t="shared" si="41"/>
        <v>CA</v>
      </c>
      <c r="J168" s="1" t="str">
        <f t="shared" si="49"/>
        <v>90265</v>
      </c>
      <c r="K168" s="1">
        <v>1998</v>
      </c>
      <c r="L168" s="1">
        <v>320</v>
      </c>
      <c r="M168" s="1">
        <v>32000</v>
      </c>
      <c r="N168" s="1">
        <v>21000</v>
      </c>
      <c r="O168" s="1">
        <f t="shared" si="42"/>
        <v>53000</v>
      </c>
      <c r="P168" s="1">
        <v>0</v>
      </c>
      <c r="Q168" s="11">
        <v>42328</v>
      </c>
    </row>
    <row r="169" spans="1:17" x14ac:dyDescent="0.25">
      <c r="A169" s="8" t="str">
        <f t="shared" si="38"/>
        <v>042</v>
      </c>
      <c r="B169" s="1" t="str">
        <f t="shared" si="39"/>
        <v>SANTA MONICA-MALIBU UNIFIED SCHOOL DISTRICT</v>
      </c>
      <c r="C169" s="1" t="str">
        <f t="shared" si="45"/>
        <v>012</v>
      </c>
      <c r="D169" s="1" t="str">
        <f t="shared" si="46"/>
        <v>MALIBU HIGH SCHOOL</v>
      </c>
      <c r="E169" s="1" t="str">
        <f>"905"</f>
        <v>905</v>
      </c>
      <c r="F169" s="1" t="str">
        <f>"SWIMMING POOL"</f>
        <v>SWIMMING POOL</v>
      </c>
      <c r="G169" s="1" t="str">
        <f t="shared" si="47"/>
        <v>30215 MORNING VIEW DRIVE</v>
      </c>
      <c r="H169" s="1" t="str">
        <f t="shared" si="48"/>
        <v>MALIBU</v>
      </c>
      <c r="I169" s="1" t="str">
        <f t="shared" si="41"/>
        <v>CA</v>
      </c>
      <c r="J169" s="1" t="str">
        <f t="shared" si="49"/>
        <v>90265</v>
      </c>
      <c r="K169" s="1">
        <v>1998</v>
      </c>
      <c r="L169" s="1">
        <v>0</v>
      </c>
      <c r="M169" s="1">
        <v>597000</v>
      </c>
      <c r="N169" s="1">
        <v>0</v>
      </c>
      <c r="O169" s="1">
        <f t="shared" si="42"/>
        <v>597000</v>
      </c>
      <c r="P169" s="1">
        <v>0</v>
      </c>
      <c r="Q169" s="11">
        <v>42328</v>
      </c>
    </row>
    <row r="170" spans="1:17" x14ac:dyDescent="0.25">
      <c r="A170" s="8" t="str">
        <f t="shared" si="38"/>
        <v>042</v>
      </c>
      <c r="B170" s="1" t="str">
        <f t="shared" si="39"/>
        <v>SANTA MONICA-MALIBU UNIFIED SCHOOL DISTRICT</v>
      </c>
      <c r="C170" s="1" t="str">
        <f t="shared" si="45"/>
        <v>012</v>
      </c>
      <c r="D170" s="1" t="str">
        <f t="shared" si="46"/>
        <v>MALIBU HIGH SCHOOL</v>
      </c>
      <c r="E170" s="1" t="str">
        <f>"016"</f>
        <v>016</v>
      </c>
      <c r="F170" s="1" t="str">
        <f>"ELEVATOR TOWER/ELECTRICAL CLOSET"</f>
        <v>ELEVATOR TOWER/ELECTRICAL CLOSET</v>
      </c>
      <c r="G170" s="1" t="str">
        <f t="shared" si="47"/>
        <v>30215 MORNING VIEW DRIVE</v>
      </c>
      <c r="H170" s="1" t="str">
        <f t="shared" si="48"/>
        <v>MALIBU</v>
      </c>
      <c r="I170" s="1" t="str">
        <f t="shared" si="41"/>
        <v>CA</v>
      </c>
      <c r="J170" s="1" t="str">
        <f t="shared" si="49"/>
        <v>90265</v>
      </c>
      <c r="K170" s="1">
        <v>1998</v>
      </c>
      <c r="L170" s="1">
        <v>7970</v>
      </c>
      <c r="M170" s="1">
        <v>229000</v>
      </c>
      <c r="N170" s="1">
        <v>0</v>
      </c>
      <c r="O170" s="1">
        <f t="shared" si="42"/>
        <v>229000</v>
      </c>
      <c r="P170" s="1">
        <v>0</v>
      </c>
      <c r="Q170" s="11">
        <v>42328</v>
      </c>
    </row>
    <row r="171" spans="1:17" x14ac:dyDescent="0.25">
      <c r="A171" s="9" t="str">
        <f t="shared" si="38"/>
        <v>042</v>
      </c>
      <c r="B171" s="3" t="str">
        <f t="shared" si="39"/>
        <v>SANTA MONICA-MALIBU UNIFIED SCHOOL DISTRICT</v>
      </c>
      <c r="C171" s="3" t="str">
        <f t="shared" si="45"/>
        <v>012</v>
      </c>
      <c r="D171" s="3" t="str">
        <f t="shared" si="46"/>
        <v>MALIBU HIGH SCHOOL</v>
      </c>
      <c r="E171" s="3" t="str">
        <f>"2264223"</f>
        <v>2264223</v>
      </c>
      <c r="F171" s="3" t="str">
        <f>"BUILDING E"</f>
        <v>BUILDING E</v>
      </c>
      <c r="G171" s="3" t="str">
        <f t="shared" si="47"/>
        <v>30215 MORNING VIEW DRIVE</v>
      </c>
      <c r="H171" s="3" t="str">
        <f t="shared" si="48"/>
        <v>MALIBU</v>
      </c>
      <c r="I171" s="3" t="str">
        <f t="shared" si="41"/>
        <v>CA</v>
      </c>
      <c r="J171" s="3" t="str">
        <f t="shared" si="49"/>
        <v>90265</v>
      </c>
      <c r="K171" s="3">
        <v>2019</v>
      </c>
      <c r="L171" s="3">
        <v>19379</v>
      </c>
      <c r="M171" s="3">
        <v>8900000</v>
      </c>
      <c r="N171" s="3">
        <v>968950</v>
      </c>
      <c r="O171" s="1">
        <f t="shared" si="42"/>
        <v>9868950</v>
      </c>
      <c r="P171" s="3">
        <v>0</v>
      </c>
      <c r="Q171" s="12"/>
    </row>
    <row r="172" spans="1:17" x14ac:dyDescent="0.25">
      <c r="A172" s="8" t="str">
        <f t="shared" si="38"/>
        <v>042</v>
      </c>
      <c r="B172" s="1" t="str">
        <f t="shared" si="39"/>
        <v>SANTA MONICA-MALIBU UNIFIED SCHOOL DISTRICT</v>
      </c>
      <c r="C172" s="1" t="str">
        <f>"022"</f>
        <v>022</v>
      </c>
      <c r="D172" s="1" t="str">
        <f>"MALIBU MNTC/TRANSPORTATION"</f>
        <v>MALIBU MNTC/TRANSPORTATION</v>
      </c>
      <c r="E172" s="1" t="str">
        <f>"001"</f>
        <v>001</v>
      </c>
      <c r="F172" s="1" t="str">
        <f>"MAINTENANCE BUILDING"</f>
        <v>MAINTENANCE BUILDING</v>
      </c>
      <c r="G172" s="1" t="str">
        <f>"30215A MORNING VIEW DRIVE"</f>
        <v>30215A MORNING VIEW DRIVE</v>
      </c>
      <c r="H172" s="1" t="str">
        <f t="shared" si="48"/>
        <v>MALIBU</v>
      </c>
      <c r="I172" s="1" t="str">
        <f t="shared" si="41"/>
        <v>CA</v>
      </c>
      <c r="J172" s="1" t="str">
        <f t="shared" si="49"/>
        <v>90265</v>
      </c>
      <c r="K172" s="1">
        <v>1970</v>
      </c>
      <c r="L172" s="1">
        <v>3402</v>
      </c>
      <c r="M172" s="1">
        <v>418000</v>
      </c>
      <c r="N172" s="1">
        <v>101000</v>
      </c>
      <c r="O172" s="1">
        <f t="shared" si="42"/>
        <v>519000</v>
      </c>
      <c r="P172" s="1">
        <v>0</v>
      </c>
      <c r="Q172" s="11">
        <v>42326</v>
      </c>
    </row>
    <row r="173" spans="1:17" x14ac:dyDescent="0.25">
      <c r="A173" s="8" t="str">
        <f t="shared" si="38"/>
        <v>042</v>
      </c>
      <c r="B173" s="1" t="str">
        <f t="shared" si="39"/>
        <v>SANTA MONICA-MALIBU UNIFIED SCHOOL DISTRICT</v>
      </c>
      <c r="C173" s="1" t="str">
        <f>"022"</f>
        <v>022</v>
      </c>
      <c r="D173" s="1" t="str">
        <f>"MALIBU MNTC/TRANSPORTATION"</f>
        <v>MALIBU MNTC/TRANSPORTATION</v>
      </c>
      <c r="E173" s="1" t="str">
        <f>"002"</f>
        <v>002</v>
      </c>
      <c r="F173" s="1" t="str">
        <f>"BUS GARAGE BUILDING"</f>
        <v>BUS GARAGE BUILDING</v>
      </c>
      <c r="G173" s="1" t="str">
        <f>"30215A MORNING VIEW DRIVE"</f>
        <v>30215A MORNING VIEW DRIVE</v>
      </c>
      <c r="H173" s="1" t="str">
        <f t="shared" si="48"/>
        <v>MALIBU</v>
      </c>
      <c r="I173" s="1" t="str">
        <f t="shared" si="41"/>
        <v>CA</v>
      </c>
      <c r="J173" s="1" t="str">
        <f t="shared" si="49"/>
        <v>90265</v>
      </c>
      <c r="K173" s="1">
        <v>1970</v>
      </c>
      <c r="L173" s="1">
        <v>6600</v>
      </c>
      <c r="M173" s="1">
        <v>758000</v>
      </c>
      <c r="N173" s="1">
        <v>196000</v>
      </c>
      <c r="O173" s="1">
        <f t="shared" si="42"/>
        <v>954000</v>
      </c>
      <c r="P173" s="1">
        <v>0</v>
      </c>
      <c r="Q173" s="11">
        <v>42326</v>
      </c>
    </row>
    <row r="174" spans="1:17" x14ac:dyDescent="0.25">
      <c r="A174" s="8" t="str">
        <f t="shared" si="38"/>
        <v>042</v>
      </c>
      <c r="B174" s="1" t="str">
        <f t="shared" si="39"/>
        <v>SANTA MONICA-MALIBU UNIFIED SCHOOL DISTRICT</v>
      </c>
      <c r="C174" s="1" t="str">
        <f t="shared" ref="C174:C186" si="50">"001"</f>
        <v>001</v>
      </c>
      <c r="D174" s="1" t="str">
        <f t="shared" ref="D174:D186" si="51">"CABRILLO ELEMENTARY SCHOOL"</f>
        <v>CABRILLO ELEMENTARY SCHOOL</v>
      </c>
      <c r="E174" s="1" t="str">
        <f>"005"</f>
        <v>005</v>
      </c>
      <c r="F174" s="1" t="str">
        <f>"CLASSROOM BUILDING RMS 12-15"</f>
        <v>CLASSROOM BUILDING RMS 12-15</v>
      </c>
      <c r="G174" s="1" t="str">
        <f t="shared" ref="G174:G186" si="52">"30237 MORNING VIEW DRIVE"</f>
        <v>30237 MORNING VIEW DRIVE</v>
      </c>
      <c r="H174" s="1" t="str">
        <f t="shared" si="48"/>
        <v>MALIBU</v>
      </c>
      <c r="I174" s="1" t="str">
        <f t="shared" si="41"/>
        <v>CA</v>
      </c>
      <c r="J174" s="1" t="str">
        <f t="shared" si="49"/>
        <v>90265</v>
      </c>
      <c r="K174" s="1">
        <v>1958</v>
      </c>
      <c r="L174" s="1">
        <v>4416</v>
      </c>
      <c r="M174" s="1">
        <v>1019000</v>
      </c>
      <c r="N174" s="1">
        <v>134000</v>
      </c>
      <c r="O174" s="1">
        <f t="shared" si="42"/>
        <v>1153000</v>
      </c>
      <c r="P174" s="1">
        <v>0</v>
      </c>
      <c r="Q174" s="11">
        <v>42323</v>
      </c>
    </row>
    <row r="175" spans="1:17" x14ac:dyDescent="0.25">
      <c r="A175" s="8" t="str">
        <f t="shared" si="38"/>
        <v>042</v>
      </c>
      <c r="B175" s="1" t="str">
        <f t="shared" si="39"/>
        <v>SANTA MONICA-MALIBU UNIFIED SCHOOL DISTRICT</v>
      </c>
      <c r="C175" s="1" t="str">
        <f t="shared" si="50"/>
        <v>001</v>
      </c>
      <c r="D175" s="1" t="str">
        <f t="shared" si="51"/>
        <v>CABRILLO ELEMENTARY SCHOOL</v>
      </c>
      <c r="E175" s="1" t="str">
        <f>"004"</f>
        <v>004</v>
      </c>
      <c r="F175" s="1" t="str">
        <f>"CLASSROOM BUILDING RMS 8-11"</f>
        <v>CLASSROOM BUILDING RMS 8-11</v>
      </c>
      <c r="G175" s="1" t="str">
        <f t="shared" si="52"/>
        <v>30237 MORNING VIEW DRIVE</v>
      </c>
      <c r="H175" s="1" t="str">
        <f t="shared" si="48"/>
        <v>MALIBU</v>
      </c>
      <c r="I175" s="1" t="str">
        <f t="shared" si="41"/>
        <v>CA</v>
      </c>
      <c r="J175" s="1" t="str">
        <f t="shared" si="49"/>
        <v>90265</v>
      </c>
      <c r="K175" s="1">
        <v>1957</v>
      </c>
      <c r="L175" s="1">
        <v>4620</v>
      </c>
      <c r="M175" s="1">
        <v>1045000</v>
      </c>
      <c r="N175" s="1">
        <v>140000</v>
      </c>
      <c r="O175" s="1">
        <f t="shared" si="42"/>
        <v>1185000</v>
      </c>
      <c r="P175" s="1">
        <v>0</v>
      </c>
      <c r="Q175" s="11">
        <v>42323</v>
      </c>
    </row>
    <row r="176" spans="1:17" x14ac:dyDescent="0.25">
      <c r="A176" s="8" t="str">
        <f t="shared" si="38"/>
        <v>042</v>
      </c>
      <c r="B176" s="1" t="str">
        <f t="shared" si="39"/>
        <v>SANTA MONICA-MALIBU UNIFIED SCHOOL DISTRICT</v>
      </c>
      <c r="C176" s="1" t="str">
        <f t="shared" si="50"/>
        <v>001</v>
      </c>
      <c r="D176" s="1" t="str">
        <f t="shared" si="51"/>
        <v>CABRILLO ELEMENTARY SCHOOL</v>
      </c>
      <c r="E176" s="1" t="str">
        <f>"003"</f>
        <v>003</v>
      </c>
      <c r="F176" s="1" t="str">
        <f>"CLASSROOM BUILDING RMS 1-5"</f>
        <v>CLASSROOM BUILDING RMS 1-5</v>
      </c>
      <c r="G176" s="1" t="str">
        <f t="shared" si="52"/>
        <v>30237 MORNING VIEW DRIVE</v>
      </c>
      <c r="H176" s="1" t="str">
        <f t="shared" si="48"/>
        <v>MALIBU</v>
      </c>
      <c r="I176" s="1" t="str">
        <f t="shared" si="41"/>
        <v>CA</v>
      </c>
      <c r="J176" s="1" t="str">
        <f t="shared" si="49"/>
        <v>90265</v>
      </c>
      <c r="K176" s="1">
        <v>1955</v>
      </c>
      <c r="L176" s="1">
        <v>6368</v>
      </c>
      <c r="M176" s="1">
        <v>1486000</v>
      </c>
      <c r="N176" s="1">
        <v>193000</v>
      </c>
      <c r="O176" s="1">
        <f t="shared" si="42"/>
        <v>1679000</v>
      </c>
      <c r="P176" s="1">
        <v>0</v>
      </c>
      <c r="Q176" s="11">
        <v>42323</v>
      </c>
    </row>
    <row r="177" spans="1:17" x14ac:dyDescent="0.25">
      <c r="A177" s="8" t="str">
        <f t="shared" si="38"/>
        <v>042</v>
      </c>
      <c r="B177" s="1" t="str">
        <f t="shared" si="39"/>
        <v>SANTA MONICA-MALIBU UNIFIED SCHOOL DISTRICT</v>
      </c>
      <c r="C177" s="1" t="str">
        <f t="shared" si="50"/>
        <v>001</v>
      </c>
      <c r="D177" s="1" t="str">
        <f t="shared" si="51"/>
        <v>CABRILLO ELEMENTARY SCHOOL</v>
      </c>
      <c r="E177" s="1" t="str">
        <f>"007"</f>
        <v>007</v>
      </c>
      <c r="F177" s="1" t="str">
        <f>"LIBRARY BUILDING"</f>
        <v>LIBRARY BUILDING</v>
      </c>
      <c r="G177" s="1" t="str">
        <f t="shared" si="52"/>
        <v>30237 MORNING VIEW DRIVE</v>
      </c>
      <c r="H177" s="1" t="str">
        <f t="shared" si="48"/>
        <v>MALIBU</v>
      </c>
      <c r="I177" s="1" t="str">
        <f t="shared" si="41"/>
        <v>CA</v>
      </c>
      <c r="J177" s="1" t="str">
        <f t="shared" si="49"/>
        <v>90265</v>
      </c>
      <c r="K177" s="1">
        <v>1965</v>
      </c>
      <c r="L177" s="1">
        <v>2717</v>
      </c>
      <c r="M177" s="1">
        <v>787000</v>
      </c>
      <c r="N177" s="1">
        <v>245000</v>
      </c>
      <c r="O177" s="1">
        <f t="shared" si="42"/>
        <v>1032000</v>
      </c>
      <c r="P177" s="1">
        <v>0</v>
      </c>
      <c r="Q177" s="11">
        <v>42323</v>
      </c>
    </row>
    <row r="178" spans="1:17" x14ac:dyDescent="0.25">
      <c r="A178" s="8" t="str">
        <f t="shared" si="38"/>
        <v>042</v>
      </c>
      <c r="B178" s="1" t="str">
        <f t="shared" si="39"/>
        <v>SANTA MONICA-MALIBU UNIFIED SCHOOL DISTRICT</v>
      </c>
      <c r="C178" s="1" t="str">
        <f t="shared" si="50"/>
        <v>001</v>
      </c>
      <c r="D178" s="1" t="str">
        <f t="shared" si="51"/>
        <v>CABRILLO ELEMENTARY SCHOOL</v>
      </c>
      <c r="E178" s="1" t="str">
        <f>"006"</f>
        <v>006</v>
      </c>
      <c r="F178" s="1" t="str">
        <f>"CLASSROOM BUILDING RMS 16-23"</f>
        <v>CLASSROOM BUILDING RMS 16-23</v>
      </c>
      <c r="G178" s="1" t="str">
        <f t="shared" si="52"/>
        <v>30237 MORNING VIEW DRIVE</v>
      </c>
      <c r="H178" s="1" t="str">
        <f t="shared" si="48"/>
        <v>MALIBU</v>
      </c>
      <c r="I178" s="1" t="str">
        <f t="shared" si="41"/>
        <v>CA</v>
      </c>
      <c r="J178" s="1" t="str">
        <f t="shared" si="49"/>
        <v>90265</v>
      </c>
      <c r="K178" s="1">
        <v>1961</v>
      </c>
      <c r="L178" s="1">
        <v>8000</v>
      </c>
      <c r="M178" s="1">
        <v>2106000</v>
      </c>
      <c r="N178" s="1">
        <v>242000</v>
      </c>
      <c r="O178" s="1">
        <f t="shared" si="42"/>
        <v>2348000</v>
      </c>
      <c r="P178" s="1">
        <v>0</v>
      </c>
      <c r="Q178" s="11">
        <v>42323</v>
      </c>
    </row>
    <row r="179" spans="1:17" x14ac:dyDescent="0.25">
      <c r="A179" s="8" t="str">
        <f t="shared" si="38"/>
        <v>042</v>
      </c>
      <c r="B179" s="1" t="str">
        <f t="shared" si="39"/>
        <v>SANTA MONICA-MALIBU UNIFIED SCHOOL DISTRICT</v>
      </c>
      <c r="C179" s="1" t="str">
        <f t="shared" si="50"/>
        <v>001</v>
      </c>
      <c r="D179" s="1" t="str">
        <f t="shared" si="51"/>
        <v>CABRILLO ELEMENTARY SCHOOL</v>
      </c>
      <c r="E179" s="1" t="str">
        <f>"002"</f>
        <v>002</v>
      </c>
      <c r="F179" s="1" t="str">
        <f>"MULTIPURPOSE BUILDING"</f>
        <v>MULTIPURPOSE BUILDING</v>
      </c>
      <c r="G179" s="1" t="str">
        <f t="shared" si="52"/>
        <v>30237 MORNING VIEW DRIVE</v>
      </c>
      <c r="H179" s="1" t="str">
        <f t="shared" si="48"/>
        <v>MALIBU</v>
      </c>
      <c r="I179" s="1" t="str">
        <f t="shared" si="41"/>
        <v>CA</v>
      </c>
      <c r="J179" s="1" t="str">
        <f t="shared" si="49"/>
        <v>90265</v>
      </c>
      <c r="K179" s="1">
        <v>1995</v>
      </c>
      <c r="L179" s="1">
        <v>4911</v>
      </c>
      <c r="M179" s="1">
        <v>1570000</v>
      </c>
      <c r="N179" s="1">
        <v>154000</v>
      </c>
      <c r="O179" s="1">
        <f t="shared" si="42"/>
        <v>1724000</v>
      </c>
      <c r="P179" s="1">
        <v>0</v>
      </c>
      <c r="Q179" s="11">
        <v>42323</v>
      </c>
    </row>
    <row r="180" spans="1:17" x14ac:dyDescent="0.25">
      <c r="A180" s="8" t="str">
        <f t="shared" si="38"/>
        <v>042</v>
      </c>
      <c r="B180" s="1" t="str">
        <f t="shared" si="39"/>
        <v>SANTA MONICA-MALIBU UNIFIED SCHOOL DISTRICT</v>
      </c>
      <c r="C180" s="1" t="str">
        <f t="shared" si="50"/>
        <v>001</v>
      </c>
      <c r="D180" s="1" t="str">
        <f t="shared" si="51"/>
        <v>CABRILLO ELEMENTARY SCHOOL</v>
      </c>
      <c r="E180" s="1" t="str">
        <f>"001"</f>
        <v>001</v>
      </c>
      <c r="F180" s="1" t="str">
        <f>"ADMINISTRATION BUILDING"</f>
        <v>ADMINISTRATION BUILDING</v>
      </c>
      <c r="G180" s="1" t="str">
        <f t="shared" si="52"/>
        <v>30237 MORNING VIEW DRIVE</v>
      </c>
      <c r="H180" s="1" t="str">
        <f t="shared" si="48"/>
        <v>MALIBU</v>
      </c>
      <c r="I180" s="1" t="str">
        <f t="shared" si="41"/>
        <v>CA</v>
      </c>
      <c r="J180" s="1" t="str">
        <f t="shared" si="49"/>
        <v>90265</v>
      </c>
      <c r="K180" s="1">
        <v>1958</v>
      </c>
      <c r="L180" s="1">
        <v>2837</v>
      </c>
      <c r="M180" s="1">
        <v>676000</v>
      </c>
      <c r="N180" s="1">
        <v>94000</v>
      </c>
      <c r="O180" s="1">
        <f t="shared" si="42"/>
        <v>770000</v>
      </c>
      <c r="P180" s="1">
        <v>0</v>
      </c>
      <c r="Q180" s="11">
        <v>42323</v>
      </c>
    </row>
    <row r="181" spans="1:17" x14ac:dyDescent="0.25">
      <c r="A181" s="8" t="str">
        <f t="shared" si="38"/>
        <v>042</v>
      </c>
      <c r="B181" s="1" t="str">
        <f t="shared" si="39"/>
        <v>SANTA MONICA-MALIBU UNIFIED SCHOOL DISTRICT</v>
      </c>
      <c r="C181" s="1" t="str">
        <f t="shared" si="50"/>
        <v>001</v>
      </c>
      <c r="D181" s="1" t="str">
        <f t="shared" si="51"/>
        <v>CABRILLO ELEMENTARY SCHOOL</v>
      </c>
      <c r="E181" s="1" t="str">
        <f>"098"</f>
        <v>098</v>
      </c>
      <c r="F181" s="1" t="str">
        <f>"COVERED EATING AREA"</f>
        <v>COVERED EATING AREA</v>
      </c>
      <c r="G181" s="1" t="str">
        <f t="shared" si="52"/>
        <v>30237 MORNING VIEW DRIVE</v>
      </c>
      <c r="H181" s="1" t="str">
        <f t="shared" si="48"/>
        <v>MALIBU</v>
      </c>
      <c r="I181" s="1" t="str">
        <f t="shared" si="41"/>
        <v>CA</v>
      </c>
      <c r="J181" s="1" t="str">
        <f t="shared" si="49"/>
        <v>90265</v>
      </c>
      <c r="K181" s="1">
        <v>1955</v>
      </c>
      <c r="L181" s="1">
        <v>1225</v>
      </c>
      <c r="M181" s="1">
        <v>24000</v>
      </c>
      <c r="N181" s="1">
        <v>0</v>
      </c>
      <c r="O181" s="1">
        <f t="shared" si="42"/>
        <v>24000</v>
      </c>
      <c r="P181" s="1">
        <v>0</v>
      </c>
      <c r="Q181" s="11">
        <v>42324</v>
      </c>
    </row>
    <row r="182" spans="1:17" x14ac:dyDescent="0.25">
      <c r="A182" s="8" t="str">
        <f t="shared" si="38"/>
        <v>042</v>
      </c>
      <c r="B182" s="1" t="str">
        <f t="shared" si="39"/>
        <v>SANTA MONICA-MALIBU UNIFIED SCHOOL DISTRICT</v>
      </c>
      <c r="C182" s="1" t="str">
        <f t="shared" si="50"/>
        <v>001</v>
      </c>
      <c r="D182" s="1" t="str">
        <f t="shared" si="51"/>
        <v>CABRILLO ELEMENTARY SCHOOL</v>
      </c>
      <c r="E182" s="1" t="str">
        <f>"099"</f>
        <v>099</v>
      </c>
      <c r="F182" s="1" t="str">
        <f>"COVERED PASSAGES"</f>
        <v>COVERED PASSAGES</v>
      </c>
      <c r="G182" s="1" t="str">
        <f t="shared" si="52"/>
        <v>30237 MORNING VIEW DRIVE</v>
      </c>
      <c r="H182" s="1" t="str">
        <f t="shared" si="48"/>
        <v>MALIBU</v>
      </c>
      <c r="I182" s="1" t="str">
        <f t="shared" si="41"/>
        <v>CA</v>
      </c>
      <c r="J182" s="1" t="str">
        <f t="shared" si="49"/>
        <v>90265</v>
      </c>
      <c r="K182" s="1">
        <v>1955</v>
      </c>
      <c r="L182" s="1">
        <v>9756</v>
      </c>
      <c r="M182" s="1">
        <v>280000</v>
      </c>
      <c r="N182" s="1">
        <v>0</v>
      </c>
      <c r="O182" s="1">
        <f t="shared" si="42"/>
        <v>280000</v>
      </c>
      <c r="P182" s="1">
        <v>0</v>
      </c>
      <c r="Q182" s="11">
        <v>42324</v>
      </c>
    </row>
    <row r="183" spans="1:17" x14ac:dyDescent="0.25">
      <c r="A183" s="8" t="str">
        <f t="shared" si="38"/>
        <v>042</v>
      </c>
      <c r="B183" s="1" t="str">
        <f t="shared" si="39"/>
        <v>SANTA MONICA-MALIBU UNIFIED SCHOOL DISTRICT</v>
      </c>
      <c r="C183" s="1" t="str">
        <f t="shared" si="50"/>
        <v>001</v>
      </c>
      <c r="D183" s="1" t="str">
        <f t="shared" si="51"/>
        <v>CABRILLO ELEMENTARY SCHOOL</v>
      </c>
      <c r="E183" s="1" t="str">
        <f>"901"</f>
        <v>901</v>
      </c>
      <c r="F183" s="1" t="str">
        <f>"PORTABLE CLASSROOM RM A"</f>
        <v>PORTABLE CLASSROOM RM A</v>
      </c>
      <c r="G183" s="1" t="str">
        <f t="shared" si="52"/>
        <v>30237 MORNING VIEW DRIVE</v>
      </c>
      <c r="H183" s="1" t="str">
        <f t="shared" si="48"/>
        <v>MALIBU</v>
      </c>
      <c r="I183" s="1" t="str">
        <f t="shared" si="41"/>
        <v>CA</v>
      </c>
      <c r="J183" s="1" t="str">
        <f t="shared" si="49"/>
        <v>90265</v>
      </c>
      <c r="K183" s="1">
        <v>1992</v>
      </c>
      <c r="L183" s="1">
        <v>960</v>
      </c>
      <c r="M183" s="1">
        <v>96000</v>
      </c>
      <c r="N183" s="1">
        <v>21000</v>
      </c>
      <c r="O183" s="1">
        <f t="shared" si="42"/>
        <v>117000</v>
      </c>
      <c r="P183" s="1">
        <v>0</v>
      </c>
      <c r="Q183" s="11">
        <v>42324</v>
      </c>
    </row>
    <row r="184" spans="1:17" x14ac:dyDescent="0.25">
      <c r="A184" s="8" t="str">
        <f t="shared" si="38"/>
        <v>042</v>
      </c>
      <c r="B184" s="1" t="str">
        <f t="shared" si="39"/>
        <v>SANTA MONICA-MALIBU UNIFIED SCHOOL DISTRICT</v>
      </c>
      <c r="C184" s="1" t="str">
        <f t="shared" si="50"/>
        <v>001</v>
      </c>
      <c r="D184" s="1" t="str">
        <f t="shared" si="51"/>
        <v>CABRILLO ELEMENTARY SCHOOL</v>
      </c>
      <c r="E184" s="1" t="str">
        <f>"902"</f>
        <v>902</v>
      </c>
      <c r="F184" s="1" t="str">
        <f>"PORTABLE CLASSROOM RM B"</f>
        <v>PORTABLE CLASSROOM RM B</v>
      </c>
      <c r="G184" s="1" t="str">
        <f t="shared" si="52"/>
        <v>30237 MORNING VIEW DRIVE</v>
      </c>
      <c r="H184" s="1" t="str">
        <f t="shared" si="48"/>
        <v>MALIBU</v>
      </c>
      <c r="I184" s="1" t="str">
        <f t="shared" si="41"/>
        <v>CA</v>
      </c>
      <c r="J184" s="1" t="str">
        <f t="shared" si="49"/>
        <v>90265</v>
      </c>
      <c r="K184" s="1">
        <v>1992</v>
      </c>
      <c r="L184" s="1">
        <v>960</v>
      </c>
      <c r="M184" s="1">
        <v>96000</v>
      </c>
      <c r="N184" s="1">
        <v>21000</v>
      </c>
      <c r="O184" s="1">
        <f t="shared" si="42"/>
        <v>117000</v>
      </c>
      <c r="P184" s="1">
        <v>0</v>
      </c>
      <c r="Q184" s="11">
        <v>42324</v>
      </c>
    </row>
    <row r="185" spans="1:17" x14ac:dyDescent="0.25">
      <c r="A185" s="8" t="str">
        <f t="shared" si="38"/>
        <v>042</v>
      </c>
      <c r="B185" s="1" t="str">
        <f t="shared" si="39"/>
        <v>SANTA MONICA-MALIBU UNIFIED SCHOOL DISTRICT</v>
      </c>
      <c r="C185" s="1" t="str">
        <f t="shared" si="50"/>
        <v>001</v>
      </c>
      <c r="D185" s="1" t="str">
        <f t="shared" si="51"/>
        <v>CABRILLO ELEMENTARY SCHOOL</v>
      </c>
      <c r="E185" s="1" t="str">
        <f>"903"</f>
        <v>903</v>
      </c>
      <c r="F185" s="1" t="str">
        <f>"PORTABLE CLASSROOM RM 24"</f>
        <v>PORTABLE CLASSROOM RM 24</v>
      </c>
      <c r="G185" s="1" t="str">
        <f t="shared" si="52"/>
        <v>30237 MORNING VIEW DRIVE</v>
      </c>
      <c r="H185" s="1" t="str">
        <f t="shared" si="48"/>
        <v>MALIBU</v>
      </c>
      <c r="I185" s="1" t="str">
        <f t="shared" si="41"/>
        <v>CA</v>
      </c>
      <c r="J185" s="1" t="str">
        <f t="shared" si="49"/>
        <v>90265</v>
      </c>
      <c r="K185" s="1">
        <v>1999</v>
      </c>
      <c r="L185" s="1">
        <v>960</v>
      </c>
      <c r="M185" s="1">
        <v>96000</v>
      </c>
      <c r="N185" s="1">
        <v>21000</v>
      </c>
      <c r="O185" s="1">
        <f t="shared" si="42"/>
        <v>117000</v>
      </c>
      <c r="P185" s="1">
        <v>0</v>
      </c>
      <c r="Q185" s="11">
        <v>42324</v>
      </c>
    </row>
    <row r="186" spans="1:17" x14ac:dyDescent="0.25">
      <c r="A186" s="8" t="str">
        <f t="shared" si="38"/>
        <v>042</v>
      </c>
      <c r="B186" s="1" t="str">
        <f t="shared" si="39"/>
        <v>SANTA MONICA-MALIBU UNIFIED SCHOOL DISTRICT</v>
      </c>
      <c r="C186" s="1" t="str">
        <f t="shared" si="50"/>
        <v>001</v>
      </c>
      <c r="D186" s="1" t="str">
        <f t="shared" si="51"/>
        <v>CABRILLO ELEMENTARY SCHOOL</v>
      </c>
      <c r="E186" s="1" t="str">
        <f>"904"</f>
        <v>904</v>
      </c>
      <c r="F186" s="1" t="str">
        <f>"PORTABLE CLASSROOM RM 25"</f>
        <v>PORTABLE CLASSROOM RM 25</v>
      </c>
      <c r="G186" s="1" t="str">
        <f t="shared" si="52"/>
        <v>30237 MORNING VIEW DRIVE</v>
      </c>
      <c r="H186" s="1" t="str">
        <f t="shared" si="48"/>
        <v>MALIBU</v>
      </c>
      <c r="I186" s="1" t="str">
        <f t="shared" si="41"/>
        <v>CA</v>
      </c>
      <c r="J186" s="1" t="str">
        <f t="shared" si="49"/>
        <v>90265</v>
      </c>
      <c r="K186" s="1">
        <v>1999</v>
      </c>
      <c r="L186" s="1">
        <v>960</v>
      </c>
      <c r="M186" s="1">
        <v>96000</v>
      </c>
      <c r="N186" s="1">
        <v>21000</v>
      </c>
      <c r="O186" s="1">
        <f t="shared" si="42"/>
        <v>117000</v>
      </c>
      <c r="P186" s="1">
        <v>0</v>
      </c>
      <c r="Q186" s="11">
        <v>42324</v>
      </c>
    </row>
    <row r="187" spans="1:17" x14ac:dyDescent="0.25">
      <c r="A187" s="8" t="str">
        <f t="shared" si="38"/>
        <v>042</v>
      </c>
      <c r="B187" s="1" t="str">
        <f t="shared" si="39"/>
        <v>SANTA MONICA-MALIBU UNIFIED SCHOOL DISTRICT</v>
      </c>
      <c r="C187" s="1" t="str">
        <f t="shared" ref="C187:C199" si="53">"009"</f>
        <v>009</v>
      </c>
      <c r="D187" s="1" t="str">
        <f t="shared" ref="D187:D199" si="54">"WEBSTER ELEMENTARY SCHOOL"</f>
        <v>WEBSTER ELEMENTARY SCHOOL</v>
      </c>
      <c r="E187" s="1" t="str">
        <f>"001"</f>
        <v>001</v>
      </c>
      <c r="F187" s="1" t="str">
        <f>"ADMINISTRATION BUILDING"</f>
        <v>ADMINISTRATION BUILDING</v>
      </c>
      <c r="G187" s="1" t="str">
        <f t="shared" ref="G187:G199" si="55">"3602 WINTER CANYON"</f>
        <v>3602 WINTER CANYON</v>
      </c>
      <c r="H187" s="1" t="str">
        <f t="shared" si="48"/>
        <v>MALIBU</v>
      </c>
      <c r="I187" s="1" t="str">
        <f t="shared" si="41"/>
        <v>CA</v>
      </c>
      <c r="J187" s="1" t="str">
        <f t="shared" si="49"/>
        <v>90265</v>
      </c>
      <c r="K187" s="1">
        <v>1948</v>
      </c>
      <c r="L187" s="1">
        <v>1734</v>
      </c>
      <c r="M187" s="1">
        <v>498000</v>
      </c>
      <c r="N187" s="1">
        <v>57000</v>
      </c>
      <c r="O187" s="1">
        <f t="shared" si="42"/>
        <v>555000</v>
      </c>
      <c r="P187" s="1">
        <v>0</v>
      </c>
      <c r="Q187" s="11">
        <v>42324</v>
      </c>
    </row>
    <row r="188" spans="1:17" x14ac:dyDescent="0.25">
      <c r="A188" s="8" t="str">
        <f t="shared" si="38"/>
        <v>042</v>
      </c>
      <c r="B188" s="1" t="str">
        <f t="shared" si="39"/>
        <v>SANTA MONICA-MALIBU UNIFIED SCHOOL DISTRICT</v>
      </c>
      <c r="C188" s="1" t="str">
        <f t="shared" si="53"/>
        <v>009</v>
      </c>
      <c r="D188" s="1" t="str">
        <f t="shared" si="54"/>
        <v>WEBSTER ELEMENTARY SCHOOL</v>
      </c>
      <c r="E188" s="1" t="str">
        <f>"002"</f>
        <v>002</v>
      </c>
      <c r="F188" s="1" t="str">
        <f>"MULTIPURPOSE BUILDING"</f>
        <v>MULTIPURPOSE BUILDING</v>
      </c>
      <c r="G188" s="1" t="str">
        <f t="shared" si="55"/>
        <v>3602 WINTER CANYON</v>
      </c>
      <c r="H188" s="1" t="str">
        <f t="shared" si="48"/>
        <v>MALIBU</v>
      </c>
      <c r="I188" s="1" t="str">
        <f t="shared" si="41"/>
        <v>CA</v>
      </c>
      <c r="J188" s="1" t="str">
        <f t="shared" si="49"/>
        <v>90265</v>
      </c>
      <c r="K188" s="1">
        <v>1952</v>
      </c>
      <c r="L188" s="1">
        <v>6111</v>
      </c>
      <c r="M188" s="1">
        <v>1821000</v>
      </c>
      <c r="N188" s="1">
        <v>192000</v>
      </c>
      <c r="O188" s="1">
        <f t="shared" si="42"/>
        <v>2013000</v>
      </c>
      <c r="P188" s="1">
        <v>0</v>
      </c>
      <c r="Q188" s="11">
        <v>42324</v>
      </c>
    </row>
    <row r="189" spans="1:17" x14ac:dyDescent="0.25">
      <c r="A189" s="8" t="str">
        <f t="shared" si="38"/>
        <v>042</v>
      </c>
      <c r="B189" s="1" t="str">
        <f t="shared" si="39"/>
        <v>SANTA MONICA-MALIBU UNIFIED SCHOOL DISTRICT</v>
      </c>
      <c r="C189" s="1" t="str">
        <f t="shared" si="53"/>
        <v>009</v>
      </c>
      <c r="D189" s="1" t="str">
        <f t="shared" si="54"/>
        <v>WEBSTER ELEMENTARY SCHOOL</v>
      </c>
      <c r="E189" s="1" t="str">
        <f>"004"</f>
        <v>004</v>
      </c>
      <c r="F189" s="1" t="str">
        <f>"LIBRARY AND CLASSROOM BUILDING"</f>
        <v>LIBRARY AND CLASSROOM BUILDING</v>
      </c>
      <c r="G189" s="1" t="str">
        <f t="shared" si="55"/>
        <v>3602 WINTER CANYON</v>
      </c>
      <c r="H189" s="1" t="str">
        <f t="shared" si="48"/>
        <v>MALIBU</v>
      </c>
      <c r="I189" s="1" t="str">
        <f t="shared" si="41"/>
        <v>CA</v>
      </c>
      <c r="J189" s="1" t="str">
        <f t="shared" si="49"/>
        <v>90265</v>
      </c>
      <c r="K189" s="1">
        <v>1948</v>
      </c>
      <c r="L189" s="1">
        <v>3903</v>
      </c>
      <c r="M189" s="1">
        <v>1091000</v>
      </c>
      <c r="N189" s="1">
        <v>351000</v>
      </c>
      <c r="O189" s="1">
        <f t="shared" si="42"/>
        <v>1442000</v>
      </c>
      <c r="P189" s="1">
        <v>0</v>
      </c>
      <c r="Q189" s="11">
        <v>42324</v>
      </c>
    </row>
    <row r="190" spans="1:17" x14ac:dyDescent="0.25">
      <c r="A190" s="8" t="str">
        <f t="shared" si="38"/>
        <v>042</v>
      </c>
      <c r="B190" s="1" t="str">
        <f t="shared" si="39"/>
        <v>SANTA MONICA-MALIBU UNIFIED SCHOOL DISTRICT</v>
      </c>
      <c r="C190" s="1" t="str">
        <f t="shared" si="53"/>
        <v>009</v>
      </c>
      <c r="D190" s="1" t="str">
        <f t="shared" si="54"/>
        <v>WEBSTER ELEMENTARY SCHOOL</v>
      </c>
      <c r="E190" s="1" t="str">
        <f>"005"</f>
        <v>005</v>
      </c>
      <c r="F190" s="1" t="str">
        <f>"CLASSROOM BUILDING RMS 1-4"</f>
        <v>CLASSROOM BUILDING RMS 1-4</v>
      </c>
      <c r="G190" s="1" t="str">
        <f t="shared" si="55"/>
        <v>3602 WINTER CANYON</v>
      </c>
      <c r="H190" s="1" t="str">
        <f t="shared" si="48"/>
        <v>MALIBU</v>
      </c>
      <c r="I190" s="1" t="str">
        <f t="shared" si="41"/>
        <v>CA</v>
      </c>
      <c r="J190" s="1" t="str">
        <f t="shared" si="49"/>
        <v>90265</v>
      </c>
      <c r="K190" s="1">
        <v>1952</v>
      </c>
      <c r="L190" s="1">
        <v>4528</v>
      </c>
      <c r="M190" s="1">
        <v>1046000</v>
      </c>
      <c r="N190" s="1">
        <v>137000</v>
      </c>
      <c r="O190" s="1">
        <f t="shared" si="42"/>
        <v>1183000</v>
      </c>
      <c r="P190" s="1">
        <v>0</v>
      </c>
      <c r="Q190" s="11">
        <v>42324</v>
      </c>
    </row>
    <row r="191" spans="1:17" x14ac:dyDescent="0.25">
      <c r="A191" s="8" t="str">
        <f t="shared" si="38"/>
        <v>042</v>
      </c>
      <c r="B191" s="1" t="str">
        <f t="shared" si="39"/>
        <v>SANTA MONICA-MALIBU UNIFIED SCHOOL DISTRICT</v>
      </c>
      <c r="C191" s="1" t="str">
        <f t="shared" si="53"/>
        <v>009</v>
      </c>
      <c r="D191" s="1" t="str">
        <f t="shared" si="54"/>
        <v>WEBSTER ELEMENTARY SCHOOL</v>
      </c>
      <c r="E191" s="1" t="str">
        <f>"006"</f>
        <v>006</v>
      </c>
      <c r="F191" s="1" t="str">
        <f>"CLASSROOM BUILDING RMS 8-10"</f>
        <v>CLASSROOM BUILDING RMS 8-10</v>
      </c>
      <c r="G191" s="1" t="str">
        <f t="shared" si="55"/>
        <v>3602 WINTER CANYON</v>
      </c>
      <c r="H191" s="1" t="str">
        <f t="shared" si="48"/>
        <v>MALIBU</v>
      </c>
      <c r="I191" s="1" t="str">
        <f t="shared" si="41"/>
        <v>CA</v>
      </c>
      <c r="J191" s="1" t="str">
        <f t="shared" si="49"/>
        <v>90265</v>
      </c>
      <c r="K191" s="1">
        <v>1948</v>
      </c>
      <c r="L191" s="1">
        <v>3534</v>
      </c>
      <c r="M191" s="1">
        <v>1001000</v>
      </c>
      <c r="N191" s="1">
        <v>107000</v>
      </c>
      <c r="O191" s="1">
        <f t="shared" si="42"/>
        <v>1108000</v>
      </c>
      <c r="P191" s="1">
        <v>0</v>
      </c>
      <c r="Q191" s="11">
        <v>42324</v>
      </c>
    </row>
    <row r="192" spans="1:17" x14ac:dyDescent="0.25">
      <c r="A192" s="8" t="str">
        <f t="shared" si="38"/>
        <v>042</v>
      </c>
      <c r="B192" s="1" t="str">
        <f t="shared" si="39"/>
        <v>SANTA MONICA-MALIBU UNIFIED SCHOOL DISTRICT</v>
      </c>
      <c r="C192" s="1" t="str">
        <f t="shared" si="53"/>
        <v>009</v>
      </c>
      <c r="D192" s="1" t="str">
        <f t="shared" si="54"/>
        <v>WEBSTER ELEMENTARY SCHOOL</v>
      </c>
      <c r="E192" s="1" t="str">
        <f>"003"</f>
        <v>003</v>
      </c>
      <c r="F192" s="1" t="str">
        <f>"CLASSROOM BUILDING RMS 11-12"</f>
        <v>CLASSROOM BUILDING RMS 11-12</v>
      </c>
      <c r="G192" s="1" t="str">
        <f t="shared" si="55"/>
        <v>3602 WINTER CANYON</v>
      </c>
      <c r="H192" s="1" t="str">
        <f t="shared" si="48"/>
        <v>MALIBU</v>
      </c>
      <c r="I192" s="1" t="str">
        <f t="shared" si="41"/>
        <v>CA</v>
      </c>
      <c r="J192" s="1" t="str">
        <f t="shared" si="49"/>
        <v>90265</v>
      </c>
      <c r="K192" s="1">
        <v>1958</v>
      </c>
      <c r="L192" s="1">
        <v>2263</v>
      </c>
      <c r="M192" s="1">
        <v>703000</v>
      </c>
      <c r="N192" s="1">
        <v>68000</v>
      </c>
      <c r="O192" s="1">
        <f t="shared" si="42"/>
        <v>771000</v>
      </c>
      <c r="P192" s="1">
        <v>0</v>
      </c>
      <c r="Q192" s="11">
        <v>42324</v>
      </c>
    </row>
    <row r="193" spans="1:17" x14ac:dyDescent="0.25">
      <c r="A193" s="8" t="str">
        <f t="shared" si="38"/>
        <v>042</v>
      </c>
      <c r="B193" s="1" t="str">
        <f t="shared" si="39"/>
        <v>SANTA MONICA-MALIBU UNIFIED SCHOOL DISTRICT</v>
      </c>
      <c r="C193" s="1" t="str">
        <f t="shared" si="53"/>
        <v>009</v>
      </c>
      <c r="D193" s="1" t="str">
        <f t="shared" si="54"/>
        <v>WEBSTER ELEMENTARY SCHOOL</v>
      </c>
      <c r="E193" s="1" t="str">
        <f>"007"</f>
        <v>007</v>
      </c>
      <c r="F193" s="1" t="str">
        <f>"CLASSROOM BUILDING RMS 13-16A"</f>
        <v>CLASSROOM BUILDING RMS 13-16A</v>
      </c>
      <c r="G193" s="1" t="str">
        <f t="shared" si="55"/>
        <v>3602 WINTER CANYON</v>
      </c>
      <c r="H193" s="1" t="str">
        <f t="shared" si="48"/>
        <v>MALIBU</v>
      </c>
      <c r="I193" s="1" t="str">
        <f t="shared" si="41"/>
        <v>CA</v>
      </c>
      <c r="J193" s="1" t="str">
        <f t="shared" si="49"/>
        <v>90265</v>
      </c>
      <c r="K193" s="1">
        <v>1958</v>
      </c>
      <c r="L193" s="1">
        <v>5128</v>
      </c>
      <c r="M193" s="1">
        <v>1453000</v>
      </c>
      <c r="N193" s="1">
        <v>155000</v>
      </c>
      <c r="O193" s="1">
        <f t="shared" si="42"/>
        <v>1608000</v>
      </c>
      <c r="P193" s="1">
        <v>0</v>
      </c>
      <c r="Q193" s="11">
        <v>42324</v>
      </c>
    </row>
    <row r="194" spans="1:17" x14ac:dyDescent="0.25">
      <c r="A194" s="8" t="str">
        <f t="shared" ref="A194:A257" si="56">"042"</f>
        <v>042</v>
      </c>
      <c r="B194" s="1" t="str">
        <f t="shared" ref="B194:B257" si="57">"SANTA MONICA-MALIBU UNIFIED SCHOOL DISTRICT"</f>
        <v>SANTA MONICA-MALIBU UNIFIED SCHOOL DISTRICT</v>
      </c>
      <c r="C194" s="1" t="str">
        <f t="shared" si="53"/>
        <v>009</v>
      </c>
      <c r="D194" s="1" t="str">
        <f t="shared" si="54"/>
        <v>WEBSTER ELEMENTARY SCHOOL</v>
      </c>
      <c r="E194" s="1" t="str">
        <f>"008"</f>
        <v>008</v>
      </c>
      <c r="F194" s="1" t="str">
        <f>"CLASSROOM BUILDING RMS 17-20"</f>
        <v>CLASSROOM BUILDING RMS 17-20</v>
      </c>
      <c r="G194" s="1" t="str">
        <f t="shared" si="55"/>
        <v>3602 WINTER CANYON</v>
      </c>
      <c r="H194" s="1" t="str">
        <f t="shared" si="48"/>
        <v>MALIBU</v>
      </c>
      <c r="I194" s="1" t="str">
        <f t="shared" ref="I194:I257" si="58">"CA"</f>
        <v>CA</v>
      </c>
      <c r="J194" s="1" t="str">
        <f t="shared" si="49"/>
        <v>90265</v>
      </c>
      <c r="K194" s="1">
        <v>1961</v>
      </c>
      <c r="L194" s="1">
        <v>4185</v>
      </c>
      <c r="M194" s="1">
        <v>1261000</v>
      </c>
      <c r="N194" s="1">
        <v>127000</v>
      </c>
      <c r="O194" s="1">
        <f t="shared" ref="O194:O257" si="59">M194+N194</f>
        <v>1388000</v>
      </c>
      <c r="P194" s="1">
        <v>0</v>
      </c>
      <c r="Q194" s="11">
        <v>42324</v>
      </c>
    </row>
    <row r="195" spans="1:17" x14ac:dyDescent="0.25">
      <c r="A195" s="8" t="str">
        <f t="shared" si="56"/>
        <v>042</v>
      </c>
      <c r="B195" s="1" t="str">
        <f t="shared" si="57"/>
        <v>SANTA MONICA-MALIBU UNIFIED SCHOOL DISTRICT</v>
      </c>
      <c r="C195" s="1" t="str">
        <f t="shared" si="53"/>
        <v>009</v>
      </c>
      <c r="D195" s="1" t="str">
        <f t="shared" si="54"/>
        <v>WEBSTER ELEMENTARY SCHOOL</v>
      </c>
      <c r="E195" s="1" t="str">
        <f>"098"</f>
        <v>098</v>
      </c>
      <c r="F195" s="1" t="str">
        <f>"COVERED EATING AREA"</f>
        <v>COVERED EATING AREA</v>
      </c>
      <c r="G195" s="1" t="str">
        <f t="shared" si="55"/>
        <v>3602 WINTER CANYON</v>
      </c>
      <c r="H195" s="1" t="str">
        <f t="shared" si="48"/>
        <v>MALIBU</v>
      </c>
      <c r="I195" s="1" t="str">
        <f t="shared" si="58"/>
        <v>CA</v>
      </c>
      <c r="J195" s="1" t="str">
        <f t="shared" si="49"/>
        <v>90265</v>
      </c>
      <c r="K195" s="1">
        <v>2012</v>
      </c>
      <c r="L195" s="1">
        <v>1178</v>
      </c>
      <c r="M195" s="1">
        <v>23000</v>
      </c>
      <c r="N195" s="1">
        <v>0</v>
      </c>
      <c r="O195" s="1">
        <f t="shared" si="59"/>
        <v>23000</v>
      </c>
      <c r="P195" s="1">
        <v>0</v>
      </c>
      <c r="Q195" s="11">
        <v>42324</v>
      </c>
    </row>
    <row r="196" spans="1:17" x14ac:dyDescent="0.25">
      <c r="A196" s="8" t="str">
        <f t="shared" si="56"/>
        <v>042</v>
      </c>
      <c r="B196" s="1" t="str">
        <f t="shared" si="57"/>
        <v>SANTA MONICA-MALIBU UNIFIED SCHOOL DISTRICT</v>
      </c>
      <c r="C196" s="1" t="str">
        <f t="shared" si="53"/>
        <v>009</v>
      </c>
      <c r="D196" s="1" t="str">
        <f t="shared" si="54"/>
        <v>WEBSTER ELEMENTARY SCHOOL</v>
      </c>
      <c r="E196" s="1" t="str">
        <f>"099"</f>
        <v>099</v>
      </c>
      <c r="F196" s="1" t="str">
        <f>"COVERED PASSAGES"</f>
        <v>COVERED PASSAGES</v>
      </c>
      <c r="G196" s="1" t="str">
        <f t="shared" si="55"/>
        <v>3602 WINTER CANYON</v>
      </c>
      <c r="H196" s="1" t="str">
        <f t="shared" si="48"/>
        <v>MALIBU</v>
      </c>
      <c r="I196" s="1" t="str">
        <f t="shared" si="58"/>
        <v>CA</v>
      </c>
      <c r="J196" s="1" t="str">
        <f t="shared" si="49"/>
        <v>90265</v>
      </c>
      <c r="K196" s="1">
        <v>1947</v>
      </c>
      <c r="L196" s="1">
        <v>10800</v>
      </c>
      <c r="M196" s="1">
        <v>310000</v>
      </c>
      <c r="N196" s="1">
        <v>0</v>
      </c>
      <c r="O196" s="1">
        <f t="shared" si="59"/>
        <v>310000</v>
      </c>
      <c r="P196" s="1">
        <v>0</v>
      </c>
      <c r="Q196" s="11">
        <v>42324</v>
      </c>
    </row>
    <row r="197" spans="1:17" x14ac:dyDescent="0.25">
      <c r="A197" s="8" t="str">
        <f t="shared" si="56"/>
        <v>042</v>
      </c>
      <c r="B197" s="1" t="str">
        <f t="shared" si="57"/>
        <v>SANTA MONICA-MALIBU UNIFIED SCHOOL DISTRICT</v>
      </c>
      <c r="C197" s="1" t="str">
        <f t="shared" si="53"/>
        <v>009</v>
      </c>
      <c r="D197" s="1" t="str">
        <f t="shared" si="54"/>
        <v>WEBSTER ELEMENTARY SCHOOL</v>
      </c>
      <c r="E197" s="1" t="str">
        <f>"901"</f>
        <v>901</v>
      </c>
      <c r="F197" s="1" t="str">
        <f>"PORTABLE CLASSROOM RM 21"</f>
        <v>PORTABLE CLASSROOM RM 21</v>
      </c>
      <c r="G197" s="1" t="str">
        <f t="shared" si="55"/>
        <v>3602 WINTER CANYON</v>
      </c>
      <c r="H197" s="1" t="str">
        <f t="shared" si="48"/>
        <v>MALIBU</v>
      </c>
      <c r="I197" s="1" t="str">
        <f t="shared" si="58"/>
        <v>CA</v>
      </c>
      <c r="J197" s="1" t="str">
        <f t="shared" si="49"/>
        <v>90265</v>
      </c>
      <c r="K197" s="1">
        <v>1996</v>
      </c>
      <c r="L197" s="1">
        <v>960</v>
      </c>
      <c r="M197" s="1">
        <v>96000</v>
      </c>
      <c r="N197" s="1">
        <v>21000</v>
      </c>
      <c r="O197" s="1">
        <f t="shared" si="59"/>
        <v>117000</v>
      </c>
      <c r="P197" s="1">
        <v>0</v>
      </c>
      <c r="Q197" s="11">
        <v>42324</v>
      </c>
    </row>
    <row r="198" spans="1:17" x14ac:dyDescent="0.25">
      <c r="A198" s="8" t="str">
        <f t="shared" si="56"/>
        <v>042</v>
      </c>
      <c r="B198" s="1" t="str">
        <f t="shared" si="57"/>
        <v>SANTA MONICA-MALIBU UNIFIED SCHOOL DISTRICT</v>
      </c>
      <c r="C198" s="1" t="str">
        <f t="shared" si="53"/>
        <v>009</v>
      </c>
      <c r="D198" s="1" t="str">
        <f t="shared" si="54"/>
        <v>WEBSTER ELEMENTARY SCHOOL</v>
      </c>
      <c r="E198" s="1" t="str">
        <f>"902"</f>
        <v>902</v>
      </c>
      <c r="F198" s="1" t="str">
        <f>"PORTABLE CLASSROOM RM 22"</f>
        <v>PORTABLE CLASSROOM RM 22</v>
      </c>
      <c r="G198" s="1" t="str">
        <f t="shared" si="55"/>
        <v>3602 WINTER CANYON</v>
      </c>
      <c r="H198" s="1" t="str">
        <f t="shared" si="48"/>
        <v>MALIBU</v>
      </c>
      <c r="I198" s="1" t="str">
        <f t="shared" si="58"/>
        <v>CA</v>
      </c>
      <c r="J198" s="1" t="str">
        <f t="shared" si="49"/>
        <v>90265</v>
      </c>
      <c r="K198" s="1">
        <v>1996</v>
      </c>
      <c r="L198" s="1">
        <v>960</v>
      </c>
      <c r="M198" s="1">
        <v>96000</v>
      </c>
      <c r="N198" s="1">
        <v>21000</v>
      </c>
      <c r="O198" s="1">
        <f t="shared" si="59"/>
        <v>117000</v>
      </c>
      <c r="P198" s="1">
        <v>0</v>
      </c>
      <c r="Q198" s="11">
        <v>42324</v>
      </c>
    </row>
    <row r="199" spans="1:17" x14ac:dyDescent="0.25">
      <c r="A199" s="8" t="str">
        <f t="shared" si="56"/>
        <v>042</v>
      </c>
      <c r="B199" s="1" t="str">
        <f t="shared" si="57"/>
        <v>SANTA MONICA-MALIBU UNIFIED SCHOOL DISTRICT</v>
      </c>
      <c r="C199" s="1" t="str">
        <f t="shared" si="53"/>
        <v>009</v>
      </c>
      <c r="D199" s="1" t="str">
        <f t="shared" si="54"/>
        <v>WEBSTER ELEMENTARY SCHOOL</v>
      </c>
      <c r="E199" s="1" t="str">
        <f>"903"</f>
        <v>903</v>
      </c>
      <c r="F199" s="1" t="str">
        <f>"PORTABLE CLASSROOM RM 23"</f>
        <v>PORTABLE CLASSROOM RM 23</v>
      </c>
      <c r="G199" s="1" t="str">
        <f t="shared" si="55"/>
        <v>3602 WINTER CANYON</v>
      </c>
      <c r="H199" s="1" t="str">
        <f t="shared" si="48"/>
        <v>MALIBU</v>
      </c>
      <c r="I199" s="1" t="str">
        <f t="shared" si="58"/>
        <v>CA</v>
      </c>
      <c r="J199" s="1" t="str">
        <f t="shared" si="49"/>
        <v>90265</v>
      </c>
      <c r="K199" s="1">
        <v>1999</v>
      </c>
      <c r="L199" s="1">
        <v>960</v>
      </c>
      <c r="M199" s="1">
        <v>96000</v>
      </c>
      <c r="N199" s="1">
        <v>21000</v>
      </c>
      <c r="O199" s="1">
        <f t="shared" si="59"/>
        <v>117000</v>
      </c>
      <c r="P199" s="1">
        <v>0</v>
      </c>
      <c r="Q199" s="11">
        <v>42324</v>
      </c>
    </row>
    <row r="200" spans="1:17" x14ac:dyDescent="0.25">
      <c r="A200" s="8" t="str">
        <f t="shared" si="56"/>
        <v>042</v>
      </c>
      <c r="B200" s="1" t="str">
        <f t="shared" si="57"/>
        <v>SANTA MONICA-MALIBU UNIFIED SCHOOL DISTRICT</v>
      </c>
      <c r="C200" s="1" t="str">
        <f>"018"</f>
        <v>018</v>
      </c>
      <c r="D200" s="1" t="str">
        <f>"CHILD CARE CENTER"</f>
        <v>CHILD CARE CENTER</v>
      </c>
      <c r="E200" s="1" t="str">
        <f>"001"</f>
        <v>001</v>
      </c>
      <c r="F200" s="1" t="str">
        <f>"CHILD CARE CENTER (LEASED)"</f>
        <v>CHILD CARE CENTER (LEASED)</v>
      </c>
      <c r="G200" s="1" t="str">
        <f>"401 ASHLAND AVENUE"</f>
        <v>401 ASHLAND AVENUE</v>
      </c>
      <c r="H200" s="1" t="str">
        <f t="shared" ref="H200:H218" si="60">"SANTA MONICA"</f>
        <v>SANTA MONICA</v>
      </c>
      <c r="I200" s="1" t="str">
        <f t="shared" si="58"/>
        <v>CA</v>
      </c>
      <c r="J200" s="1" t="str">
        <f>"90405"</f>
        <v>90405</v>
      </c>
      <c r="K200" s="1">
        <v>1946</v>
      </c>
      <c r="L200" s="1">
        <v>5840</v>
      </c>
      <c r="M200" s="1">
        <v>1321000</v>
      </c>
      <c r="N200" s="1">
        <v>0</v>
      </c>
      <c r="O200" s="1">
        <f t="shared" si="59"/>
        <v>1321000</v>
      </c>
      <c r="P200" s="1">
        <v>0</v>
      </c>
      <c r="Q200" s="11">
        <v>42327</v>
      </c>
    </row>
    <row r="201" spans="1:17" x14ac:dyDescent="0.25">
      <c r="A201" s="8" t="str">
        <f t="shared" si="56"/>
        <v>042</v>
      </c>
      <c r="B201" s="1" t="str">
        <f t="shared" si="57"/>
        <v>SANTA MONICA-MALIBU UNIFIED SCHOOL DISTRICT</v>
      </c>
      <c r="C201" s="1" t="str">
        <f>"018"</f>
        <v>018</v>
      </c>
      <c r="D201" s="1" t="str">
        <f>"CHILD CARE CENTER"</f>
        <v>CHILD CARE CENTER</v>
      </c>
      <c r="E201" s="1" t="str">
        <f>"002"</f>
        <v>002</v>
      </c>
      <c r="F201" s="1" t="str">
        <f>"(LEASED) CHILD CARE CENTER BLDG"</f>
        <v>(LEASED) CHILD CARE CENTER BLDG</v>
      </c>
      <c r="G201" s="1" t="str">
        <f>"401 ASHLAND AVENUE"</f>
        <v>401 ASHLAND AVENUE</v>
      </c>
      <c r="H201" s="1" t="str">
        <f t="shared" si="60"/>
        <v>SANTA MONICA</v>
      </c>
      <c r="I201" s="1" t="str">
        <f t="shared" si="58"/>
        <v>CA</v>
      </c>
      <c r="J201" s="1" t="str">
        <f>"90405"</f>
        <v>90405</v>
      </c>
      <c r="K201" s="1">
        <v>1946</v>
      </c>
      <c r="L201" s="1">
        <v>2852</v>
      </c>
      <c r="M201" s="1">
        <v>745000</v>
      </c>
      <c r="N201" s="1">
        <v>0</v>
      </c>
      <c r="O201" s="1">
        <f t="shared" si="59"/>
        <v>745000</v>
      </c>
      <c r="P201" s="1">
        <v>0</v>
      </c>
      <c r="Q201" s="11">
        <v>42327</v>
      </c>
    </row>
    <row r="202" spans="1:17" x14ac:dyDescent="0.25">
      <c r="A202" s="8" t="str">
        <f t="shared" si="56"/>
        <v>042</v>
      </c>
      <c r="B202" s="1" t="str">
        <f t="shared" si="57"/>
        <v>SANTA MONICA-MALIBU UNIFIED SCHOOL DISTRICT</v>
      </c>
      <c r="C202" s="1" t="str">
        <f>"018"</f>
        <v>018</v>
      </c>
      <c r="D202" s="1" t="str">
        <f>"CHILD CARE CENTER"</f>
        <v>CHILD CARE CENTER</v>
      </c>
      <c r="E202" s="1" t="str">
        <f>"003"</f>
        <v>003</v>
      </c>
      <c r="F202" s="1" t="str">
        <f>"STUDIO (LEASED)"</f>
        <v>STUDIO (LEASED)</v>
      </c>
      <c r="G202" s="1" t="str">
        <f>"401 ASHLAND AVENUE"</f>
        <v>401 ASHLAND AVENUE</v>
      </c>
      <c r="H202" s="1" t="str">
        <f t="shared" si="60"/>
        <v>SANTA MONICA</v>
      </c>
      <c r="I202" s="1" t="str">
        <f t="shared" si="58"/>
        <v>CA</v>
      </c>
      <c r="J202" s="1" t="str">
        <f>"90405"</f>
        <v>90405</v>
      </c>
      <c r="K202" s="1">
        <v>2000</v>
      </c>
      <c r="L202" s="1">
        <v>646</v>
      </c>
      <c r="M202" s="1">
        <v>185000</v>
      </c>
      <c r="N202" s="1">
        <v>0</v>
      </c>
      <c r="O202" s="1">
        <f t="shared" si="59"/>
        <v>185000</v>
      </c>
      <c r="P202" s="1">
        <v>0</v>
      </c>
      <c r="Q202" s="11">
        <v>42327</v>
      </c>
    </row>
    <row r="203" spans="1:17" x14ac:dyDescent="0.25">
      <c r="A203" s="9" t="str">
        <f t="shared" si="56"/>
        <v>042</v>
      </c>
      <c r="B203" s="3" t="str">
        <f t="shared" si="57"/>
        <v>SANTA MONICA-MALIBU UNIFIED SCHOOL DISTRICT</v>
      </c>
      <c r="C203" s="3" t="str">
        <f t="shared" ref="C203:C218" si="61">"014"</f>
        <v>014</v>
      </c>
      <c r="D203" s="3" t="str">
        <f t="shared" ref="D203:D218" si="62">"SANTA MONICA HIGH SCHOOL"</f>
        <v>SANTA MONICA HIGH SCHOOL</v>
      </c>
      <c r="E203" s="3" t="str">
        <f>"950821"</f>
        <v>950821</v>
      </c>
      <c r="F203" s="3" t="str">
        <f>"OLYMPIC SPUR BUILDING"</f>
        <v>OLYMPIC SPUR BUILDING</v>
      </c>
      <c r="G203" s="3" t="str">
        <f>"601 PICO BOLEVARD"</f>
        <v>601 PICO BOLEVARD</v>
      </c>
      <c r="H203" s="3" t="str">
        <f t="shared" si="60"/>
        <v>SANTA MONICA</v>
      </c>
      <c r="I203" s="3" t="str">
        <f t="shared" si="58"/>
        <v>CA</v>
      </c>
      <c r="J203" s="3" t="str">
        <f>"90404"</f>
        <v>90404</v>
      </c>
      <c r="K203" s="3">
        <v>2019</v>
      </c>
      <c r="L203" s="3">
        <v>959</v>
      </c>
      <c r="M203" s="3">
        <v>588000</v>
      </c>
      <c r="N203" s="3">
        <v>47950</v>
      </c>
      <c r="O203" s="1">
        <f t="shared" si="59"/>
        <v>635950</v>
      </c>
      <c r="P203" s="3">
        <v>0</v>
      </c>
      <c r="Q203" s="12"/>
    </row>
    <row r="204" spans="1:17" x14ac:dyDescent="0.25">
      <c r="A204" s="8" t="str">
        <f t="shared" si="56"/>
        <v>042</v>
      </c>
      <c r="B204" s="1" t="str">
        <f t="shared" si="57"/>
        <v>SANTA MONICA-MALIBU UNIFIED SCHOOL DISTRICT</v>
      </c>
      <c r="C204" s="1" t="str">
        <f t="shared" si="61"/>
        <v>014</v>
      </c>
      <c r="D204" s="1" t="str">
        <f t="shared" si="62"/>
        <v>SANTA MONICA HIGH SCHOOL</v>
      </c>
      <c r="E204" s="1" t="str">
        <f>"001"</f>
        <v>001</v>
      </c>
      <c r="F204" s="1" t="str">
        <f>"ADMINISTRATION BUILDING"</f>
        <v>ADMINISTRATION BUILDING</v>
      </c>
      <c r="G204" s="1" t="str">
        <f t="shared" ref="G204:G217" si="63">"601 PICO BOULEVARD"</f>
        <v>601 PICO BOULEVARD</v>
      </c>
      <c r="H204" s="1" t="str">
        <f t="shared" si="60"/>
        <v>SANTA MONICA</v>
      </c>
      <c r="I204" s="1" t="str">
        <f t="shared" si="58"/>
        <v>CA</v>
      </c>
      <c r="J204" s="1" t="str">
        <f t="shared" ref="J204:J218" si="64">"90405"</f>
        <v>90405</v>
      </c>
      <c r="K204" s="1">
        <v>1959</v>
      </c>
      <c r="L204" s="1">
        <v>12523</v>
      </c>
      <c r="M204" s="1">
        <v>3935000</v>
      </c>
      <c r="N204" s="1">
        <v>519000</v>
      </c>
      <c r="O204" s="1">
        <f t="shared" si="59"/>
        <v>4454000</v>
      </c>
      <c r="P204" s="1">
        <v>3216</v>
      </c>
      <c r="Q204" s="11">
        <v>42323</v>
      </c>
    </row>
    <row r="205" spans="1:17" x14ac:dyDescent="0.25">
      <c r="A205" s="8" t="str">
        <f t="shared" si="56"/>
        <v>042</v>
      </c>
      <c r="B205" s="1" t="str">
        <f t="shared" si="57"/>
        <v>SANTA MONICA-MALIBU UNIFIED SCHOOL DISTRICT</v>
      </c>
      <c r="C205" s="1" t="str">
        <f t="shared" si="61"/>
        <v>014</v>
      </c>
      <c r="D205" s="1" t="str">
        <f t="shared" si="62"/>
        <v>SANTA MONICA HIGH SCHOOL</v>
      </c>
      <c r="E205" s="1" t="str">
        <f>"002"</f>
        <v>002</v>
      </c>
      <c r="F205" s="1" t="str">
        <f>"MULTIPURPOSE BUILDING"</f>
        <v>MULTIPURPOSE BUILDING</v>
      </c>
      <c r="G205" s="1" t="str">
        <f t="shared" si="63"/>
        <v>601 PICO BOULEVARD</v>
      </c>
      <c r="H205" s="1" t="str">
        <f t="shared" si="60"/>
        <v>SANTA MONICA</v>
      </c>
      <c r="I205" s="1" t="str">
        <f t="shared" si="58"/>
        <v>CA</v>
      </c>
      <c r="J205" s="1" t="str">
        <f t="shared" si="64"/>
        <v>90405</v>
      </c>
      <c r="K205" s="1">
        <v>1959</v>
      </c>
      <c r="L205" s="1">
        <v>14177</v>
      </c>
      <c r="M205" s="1">
        <v>4108000</v>
      </c>
      <c r="N205" s="1">
        <v>446000</v>
      </c>
      <c r="O205" s="1">
        <f t="shared" si="59"/>
        <v>4554000</v>
      </c>
      <c r="P205" s="1">
        <v>0</v>
      </c>
      <c r="Q205" s="11">
        <v>42323</v>
      </c>
    </row>
    <row r="206" spans="1:17" x14ac:dyDescent="0.25">
      <c r="A206" s="8" t="str">
        <f t="shared" si="56"/>
        <v>042</v>
      </c>
      <c r="B206" s="1" t="str">
        <f t="shared" si="57"/>
        <v>SANTA MONICA-MALIBU UNIFIED SCHOOL DISTRICT</v>
      </c>
      <c r="C206" s="1" t="str">
        <f t="shared" si="61"/>
        <v>014</v>
      </c>
      <c r="D206" s="1" t="str">
        <f t="shared" si="62"/>
        <v>SANTA MONICA HIGH SCHOOL</v>
      </c>
      <c r="E206" s="1" t="str">
        <f>"003"</f>
        <v>003</v>
      </c>
      <c r="F206" s="1" t="str">
        <f>"BARNUM HALL BUILDING"</f>
        <v>BARNUM HALL BUILDING</v>
      </c>
      <c r="G206" s="1" t="str">
        <f t="shared" si="63"/>
        <v>601 PICO BOULEVARD</v>
      </c>
      <c r="H206" s="1" t="str">
        <f t="shared" si="60"/>
        <v>SANTA MONICA</v>
      </c>
      <c r="I206" s="1" t="str">
        <f t="shared" si="58"/>
        <v>CA</v>
      </c>
      <c r="J206" s="1" t="str">
        <f t="shared" si="64"/>
        <v>90405</v>
      </c>
      <c r="K206" s="1">
        <v>1937</v>
      </c>
      <c r="L206" s="1">
        <v>21668</v>
      </c>
      <c r="M206" s="1">
        <v>9471000</v>
      </c>
      <c r="N206" s="1">
        <v>314000</v>
      </c>
      <c r="O206" s="1">
        <f t="shared" si="59"/>
        <v>9785000</v>
      </c>
      <c r="P206" s="1">
        <v>0</v>
      </c>
      <c r="Q206" s="11">
        <v>42323</v>
      </c>
    </row>
    <row r="207" spans="1:17" x14ac:dyDescent="0.25">
      <c r="A207" s="8" t="str">
        <f t="shared" si="56"/>
        <v>042</v>
      </c>
      <c r="B207" s="1" t="str">
        <f t="shared" si="57"/>
        <v>SANTA MONICA-MALIBU UNIFIED SCHOOL DISTRICT</v>
      </c>
      <c r="C207" s="1" t="str">
        <f t="shared" si="61"/>
        <v>014</v>
      </c>
      <c r="D207" s="1" t="str">
        <f t="shared" si="62"/>
        <v>SANTA MONICA HIGH SCHOOL</v>
      </c>
      <c r="E207" s="1" t="str">
        <f>"004"</f>
        <v>004</v>
      </c>
      <c r="F207" s="1" t="str">
        <f>"MUSIC BUILDING"</f>
        <v>MUSIC BUILDING</v>
      </c>
      <c r="G207" s="1" t="str">
        <f t="shared" si="63"/>
        <v>601 PICO BOULEVARD</v>
      </c>
      <c r="H207" s="1" t="str">
        <f t="shared" si="60"/>
        <v>SANTA MONICA</v>
      </c>
      <c r="I207" s="1" t="str">
        <f t="shared" si="58"/>
        <v>CA</v>
      </c>
      <c r="J207" s="1" t="str">
        <f t="shared" si="64"/>
        <v>90405</v>
      </c>
      <c r="K207" s="1">
        <v>1959</v>
      </c>
      <c r="L207" s="1">
        <v>17808</v>
      </c>
      <c r="M207" s="1">
        <v>5411000</v>
      </c>
      <c r="N207" s="1">
        <v>685000</v>
      </c>
      <c r="O207" s="1">
        <f t="shared" si="59"/>
        <v>6096000</v>
      </c>
      <c r="P207" s="1">
        <v>0</v>
      </c>
      <c r="Q207" s="11">
        <v>42323</v>
      </c>
    </row>
    <row r="208" spans="1:17" x14ac:dyDescent="0.25">
      <c r="A208" s="8" t="str">
        <f t="shared" si="56"/>
        <v>042</v>
      </c>
      <c r="B208" s="1" t="str">
        <f t="shared" si="57"/>
        <v>SANTA MONICA-MALIBU UNIFIED SCHOOL DISTRICT</v>
      </c>
      <c r="C208" s="1" t="str">
        <f t="shared" si="61"/>
        <v>014</v>
      </c>
      <c r="D208" s="1" t="str">
        <f t="shared" si="62"/>
        <v>SANTA MONICA HIGH SCHOOL</v>
      </c>
      <c r="E208" s="1" t="str">
        <f>"005"</f>
        <v>005</v>
      </c>
      <c r="F208" s="1" t="str">
        <f>"NORTH GYMNASIUM BUILDING"</f>
        <v>NORTH GYMNASIUM BUILDING</v>
      </c>
      <c r="G208" s="1" t="str">
        <f t="shared" si="63"/>
        <v>601 PICO BOULEVARD</v>
      </c>
      <c r="H208" s="1" t="str">
        <f t="shared" si="60"/>
        <v>SANTA MONICA</v>
      </c>
      <c r="I208" s="1" t="str">
        <f t="shared" si="58"/>
        <v>CA</v>
      </c>
      <c r="J208" s="1" t="str">
        <f t="shared" si="64"/>
        <v>90405</v>
      </c>
      <c r="K208" s="1">
        <v>1935</v>
      </c>
      <c r="L208" s="1">
        <v>27416</v>
      </c>
      <c r="M208" s="1">
        <v>9485000</v>
      </c>
      <c r="N208" s="1">
        <v>245000</v>
      </c>
      <c r="O208" s="1">
        <f t="shared" si="59"/>
        <v>9730000</v>
      </c>
      <c r="P208" s="1">
        <v>4444</v>
      </c>
      <c r="Q208" s="11">
        <v>42323</v>
      </c>
    </row>
    <row r="209" spans="1:17" x14ac:dyDescent="0.25">
      <c r="A209" s="8" t="str">
        <f t="shared" si="56"/>
        <v>042</v>
      </c>
      <c r="B209" s="1" t="str">
        <f t="shared" si="57"/>
        <v>SANTA MONICA-MALIBU UNIFIED SCHOOL DISTRICT</v>
      </c>
      <c r="C209" s="1" t="str">
        <f t="shared" si="61"/>
        <v>014</v>
      </c>
      <c r="D209" s="1" t="str">
        <f t="shared" si="62"/>
        <v>SANTA MONICA HIGH SCHOOL</v>
      </c>
      <c r="E209" s="1" t="str">
        <f>"006"</f>
        <v>006</v>
      </c>
      <c r="F209" s="1" t="str">
        <f>"DRAKE NATATORIUM"</f>
        <v>DRAKE NATATORIUM</v>
      </c>
      <c r="G209" s="1" t="str">
        <f t="shared" si="63"/>
        <v>601 PICO BOULEVARD</v>
      </c>
      <c r="H209" s="1" t="str">
        <f t="shared" si="60"/>
        <v>SANTA MONICA</v>
      </c>
      <c r="I209" s="1" t="str">
        <f t="shared" si="58"/>
        <v>CA</v>
      </c>
      <c r="J209" s="1" t="str">
        <f t="shared" si="64"/>
        <v>90405</v>
      </c>
      <c r="K209" s="1">
        <v>1971</v>
      </c>
      <c r="L209" s="1">
        <v>17012</v>
      </c>
      <c r="M209" s="1">
        <v>5406000</v>
      </c>
      <c r="N209" s="1">
        <v>137000</v>
      </c>
      <c r="O209" s="1">
        <f t="shared" si="59"/>
        <v>5543000</v>
      </c>
      <c r="P209" s="1">
        <v>0</v>
      </c>
      <c r="Q209" s="11">
        <v>42323</v>
      </c>
    </row>
    <row r="210" spans="1:17" x14ac:dyDescent="0.25">
      <c r="A210" s="8" t="str">
        <f t="shared" si="56"/>
        <v>042</v>
      </c>
      <c r="B210" s="1" t="str">
        <f t="shared" si="57"/>
        <v>SANTA MONICA-MALIBU UNIFIED SCHOOL DISTRICT</v>
      </c>
      <c r="C210" s="1" t="str">
        <f t="shared" si="61"/>
        <v>014</v>
      </c>
      <c r="D210" s="1" t="str">
        <f t="shared" si="62"/>
        <v>SANTA MONICA HIGH SCHOOL</v>
      </c>
      <c r="E210" s="1" t="str">
        <f>"007"</f>
        <v>007</v>
      </c>
      <c r="F210" s="1" t="str">
        <f>"SOUTH GYMNASIUM BUILDING"</f>
        <v>SOUTH GYMNASIUM BUILDING</v>
      </c>
      <c r="G210" s="1" t="str">
        <f t="shared" si="63"/>
        <v>601 PICO BOULEVARD</v>
      </c>
      <c r="H210" s="1" t="str">
        <f t="shared" si="60"/>
        <v>SANTA MONICA</v>
      </c>
      <c r="I210" s="1" t="str">
        <f t="shared" si="58"/>
        <v>CA</v>
      </c>
      <c r="J210" s="1" t="str">
        <f t="shared" si="64"/>
        <v>90405</v>
      </c>
      <c r="K210" s="1">
        <v>1933</v>
      </c>
      <c r="L210" s="1">
        <v>26904</v>
      </c>
      <c r="M210" s="1">
        <v>9207000</v>
      </c>
      <c r="N210" s="1">
        <v>320000</v>
      </c>
      <c r="O210" s="1">
        <f t="shared" si="59"/>
        <v>9527000</v>
      </c>
      <c r="P210" s="1">
        <v>8912</v>
      </c>
      <c r="Q210" s="11">
        <v>42323</v>
      </c>
    </row>
    <row r="211" spans="1:17" x14ac:dyDescent="0.25">
      <c r="A211" s="8" t="str">
        <f t="shared" si="56"/>
        <v>042</v>
      </c>
      <c r="B211" s="1" t="str">
        <f t="shared" si="57"/>
        <v>SANTA MONICA-MALIBU UNIFIED SCHOOL DISTRICT</v>
      </c>
      <c r="C211" s="1" t="str">
        <f t="shared" si="61"/>
        <v>014</v>
      </c>
      <c r="D211" s="1" t="str">
        <f t="shared" si="62"/>
        <v>SANTA MONICA HIGH SCHOOL</v>
      </c>
      <c r="E211" s="1" t="str">
        <f>"008"</f>
        <v>008</v>
      </c>
      <c r="F211" s="1" t="str">
        <f>"BUSINESS BUILDING"</f>
        <v>BUSINESS BUILDING</v>
      </c>
      <c r="G211" s="1" t="str">
        <f t="shared" si="63"/>
        <v>601 PICO BOULEVARD</v>
      </c>
      <c r="H211" s="1" t="str">
        <f t="shared" si="60"/>
        <v>SANTA MONICA</v>
      </c>
      <c r="I211" s="1" t="str">
        <f t="shared" si="58"/>
        <v>CA</v>
      </c>
      <c r="J211" s="1" t="str">
        <f t="shared" si="64"/>
        <v>90405</v>
      </c>
      <c r="K211" s="1">
        <v>1939</v>
      </c>
      <c r="L211" s="1">
        <v>21629</v>
      </c>
      <c r="M211" s="1">
        <v>6136000</v>
      </c>
      <c r="N211" s="1">
        <v>650000</v>
      </c>
      <c r="O211" s="1">
        <f t="shared" si="59"/>
        <v>6786000</v>
      </c>
      <c r="P211" s="1">
        <v>1502</v>
      </c>
      <c r="Q211" s="11">
        <v>42323</v>
      </c>
    </row>
    <row r="212" spans="1:17" x14ac:dyDescent="0.25">
      <c r="A212" s="8" t="str">
        <f t="shared" si="56"/>
        <v>042</v>
      </c>
      <c r="B212" s="1" t="str">
        <f t="shared" si="57"/>
        <v>SANTA MONICA-MALIBU UNIFIED SCHOOL DISTRICT</v>
      </c>
      <c r="C212" s="1" t="str">
        <f t="shared" si="61"/>
        <v>014</v>
      </c>
      <c r="D212" s="1" t="str">
        <f t="shared" si="62"/>
        <v>SANTA MONICA HIGH SCHOOL</v>
      </c>
      <c r="E212" s="1" t="str">
        <f>"009"</f>
        <v>009</v>
      </c>
      <c r="F212" s="1" t="str">
        <f>"HISTORY BUILDING"</f>
        <v>HISTORY BUILDING</v>
      </c>
      <c r="G212" s="1" t="str">
        <f t="shared" si="63"/>
        <v>601 PICO BOULEVARD</v>
      </c>
      <c r="H212" s="1" t="str">
        <f t="shared" si="60"/>
        <v>SANTA MONICA</v>
      </c>
      <c r="I212" s="1" t="str">
        <f t="shared" si="58"/>
        <v>CA</v>
      </c>
      <c r="J212" s="1" t="str">
        <f t="shared" si="64"/>
        <v>90405</v>
      </c>
      <c r="K212" s="1">
        <v>1913</v>
      </c>
      <c r="L212" s="1">
        <v>36972</v>
      </c>
      <c r="M212" s="1">
        <v>11063000</v>
      </c>
      <c r="N212" s="1">
        <v>1264000</v>
      </c>
      <c r="O212" s="1">
        <f t="shared" si="59"/>
        <v>12327000</v>
      </c>
      <c r="P212" s="1">
        <v>5098</v>
      </c>
      <c r="Q212" s="11">
        <v>42323</v>
      </c>
    </row>
    <row r="213" spans="1:17" x14ac:dyDescent="0.25">
      <c r="A213" s="8" t="str">
        <f t="shared" si="56"/>
        <v>042</v>
      </c>
      <c r="B213" s="1" t="str">
        <f t="shared" si="57"/>
        <v>SANTA MONICA-MALIBU UNIFIED SCHOOL DISTRICT</v>
      </c>
      <c r="C213" s="1" t="str">
        <f t="shared" si="61"/>
        <v>014</v>
      </c>
      <c r="D213" s="1" t="str">
        <f t="shared" si="62"/>
        <v>SANTA MONICA HIGH SCHOOL</v>
      </c>
      <c r="E213" s="1" t="str">
        <f>"010"</f>
        <v>010</v>
      </c>
      <c r="F213" s="1" t="str">
        <f>"ART BUILDING"</f>
        <v>ART BUILDING</v>
      </c>
      <c r="G213" s="1" t="str">
        <f t="shared" si="63"/>
        <v>601 PICO BOULEVARD</v>
      </c>
      <c r="H213" s="1" t="str">
        <f t="shared" si="60"/>
        <v>SANTA MONICA</v>
      </c>
      <c r="I213" s="1" t="str">
        <f t="shared" si="58"/>
        <v>CA</v>
      </c>
      <c r="J213" s="1" t="str">
        <f t="shared" si="64"/>
        <v>90405</v>
      </c>
      <c r="K213" s="1">
        <v>1913</v>
      </c>
      <c r="L213" s="1">
        <v>11508</v>
      </c>
      <c r="M213" s="1">
        <v>3328000</v>
      </c>
      <c r="N213" s="1">
        <v>346000</v>
      </c>
      <c r="O213" s="1">
        <f t="shared" si="59"/>
        <v>3674000</v>
      </c>
      <c r="P213" s="1">
        <v>0</v>
      </c>
      <c r="Q213" s="11">
        <v>42323</v>
      </c>
    </row>
    <row r="214" spans="1:17" x14ac:dyDescent="0.25">
      <c r="A214" s="8" t="str">
        <f t="shared" si="56"/>
        <v>042</v>
      </c>
      <c r="B214" s="1" t="str">
        <f t="shared" si="57"/>
        <v>SANTA MONICA-MALIBU UNIFIED SCHOOL DISTRICT</v>
      </c>
      <c r="C214" s="1" t="str">
        <f t="shared" si="61"/>
        <v>014</v>
      </c>
      <c r="D214" s="1" t="str">
        <f t="shared" si="62"/>
        <v>SANTA MONICA HIGH SCHOOL</v>
      </c>
      <c r="E214" s="1" t="str">
        <f>"011"</f>
        <v>011</v>
      </c>
      <c r="F214" s="1" t="str">
        <f>"CLASSROOM BUILDING"</f>
        <v>CLASSROOM BUILDING</v>
      </c>
      <c r="G214" s="1" t="str">
        <f t="shared" si="63"/>
        <v>601 PICO BOULEVARD</v>
      </c>
      <c r="H214" s="1" t="str">
        <f t="shared" si="60"/>
        <v>SANTA MONICA</v>
      </c>
      <c r="I214" s="1" t="str">
        <f t="shared" si="58"/>
        <v>CA</v>
      </c>
      <c r="J214" s="1" t="str">
        <f t="shared" si="64"/>
        <v>90405</v>
      </c>
      <c r="K214" s="1">
        <v>1913</v>
      </c>
      <c r="L214" s="1">
        <v>1376</v>
      </c>
      <c r="M214" s="1">
        <v>422000</v>
      </c>
      <c r="N214" s="1">
        <v>41000</v>
      </c>
      <c r="O214" s="1">
        <f t="shared" si="59"/>
        <v>463000</v>
      </c>
      <c r="P214" s="1">
        <v>0</v>
      </c>
      <c r="Q214" s="11">
        <v>42323</v>
      </c>
    </row>
    <row r="215" spans="1:17" x14ac:dyDescent="0.25">
      <c r="A215" s="8" t="str">
        <f t="shared" si="56"/>
        <v>042</v>
      </c>
      <c r="B215" s="1" t="str">
        <f t="shared" si="57"/>
        <v>SANTA MONICA-MALIBU UNIFIED SCHOOL DISTRICT</v>
      </c>
      <c r="C215" s="1" t="str">
        <f t="shared" si="61"/>
        <v>014</v>
      </c>
      <c r="D215" s="1" t="str">
        <f t="shared" si="62"/>
        <v>SANTA MONICA HIGH SCHOOL</v>
      </c>
      <c r="E215" s="1" t="str">
        <f>"012"</f>
        <v>012</v>
      </c>
      <c r="F215" s="1" t="str">
        <f>"ENGLISH BUILDING"</f>
        <v>ENGLISH BUILDING</v>
      </c>
      <c r="G215" s="1" t="str">
        <f t="shared" si="63"/>
        <v>601 PICO BOULEVARD</v>
      </c>
      <c r="H215" s="1" t="str">
        <f t="shared" si="60"/>
        <v>SANTA MONICA</v>
      </c>
      <c r="I215" s="1" t="str">
        <f t="shared" si="58"/>
        <v>CA</v>
      </c>
      <c r="J215" s="1" t="str">
        <f t="shared" si="64"/>
        <v>90405</v>
      </c>
      <c r="K215" s="1">
        <v>1913</v>
      </c>
      <c r="L215" s="1">
        <v>27701</v>
      </c>
      <c r="M215" s="1">
        <v>8173000</v>
      </c>
      <c r="N215" s="1">
        <v>832000</v>
      </c>
      <c r="O215" s="1">
        <f t="shared" si="59"/>
        <v>9005000</v>
      </c>
      <c r="P215" s="1">
        <v>3897</v>
      </c>
      <c r="Q215" s="11">
        <v>42323</v>
      </c>
    </row>
    <row r="216" spans="1:17" x14ac:dyDescent="0.25">
      <c r="A216" s="8" t="str">
        <f t="shared" si="56"/>
        <v>042</v>
      </c>
      <c r="B216" s="1" t="str">
        <f t="shared" si="57"/>
        <v>SANTA MONICA-MALIBU UNIFIED SCHOOL DISTRICT</v>
      </c>
      <c r="C216" s="1" t="str">
        <f t="shared" si="61"/>
        <v>014</v>
      </c>
      <c r="D216" s="1" t="str">
        <f t="shared" si="62"/>
        <v>SANTA MONICA HIGH SCHOOL</v>
      </c>
      <c r="E216" s="1" t="str">
        <f>"013"</f>
        <v>013</v>
      </c>
      <c r="F216" s="1" t="str">
        <f>"LANGUAGE BUILDING"</f>
        <v>LANGUAGE BUILDING</v>
      </c>
      <c r="G216" s="1" t="str">
        <f t="shared" si="63"/>
        <v>601 PICO BOULEVARD</v>
      </c>
      <c r="H216" s="1" t="str">
        <f t="shared" si="60"/>
        <v>SANTA MONICA</v>
      </c>
      <c r="I216" s="1" t="str">
        <f t="shared" si="58"/>
        <v>CA</v>
      </c>
      <c r="J216" s="1" t="str">
        <f t="shared" si="64"/>
        <v>90405</v>
      </c>
      <c r="K216" s="1">
        <v>1972</v>
      </c>
      <c r="L216" s="1">
        <v>35925</v>
      </c>
      <c r="M216" s="1">
        <v>8436000</v>
      </c>
      <c r="N216" s="1">
        <v>1079000</v>
      </c>
      <c r="O216" s="1">
        <f t="shared" si="59"/>
        <v>9515000</v>
      </c>
      <c r="P216" s="1">
        <v>0</v>
      </c>
      <c r="Q216" s="11">
        <v>42323</v>
      </c>
    </row>
    <row r="217" spans="1:17" x14ac:dyDescent="0.25">
      <c r="A217" s="8" t="str">
        <f t="shared" si="56"/>
        <v>042</v>
      </c>
      <c r="B217" s="1" t="str">
        <f t="shared" si="57"/>
        <v>SANTA MONICA-MALIBU UNIFIED SCHOOL DISTRICT</v>
      </c>
      <c r="C217" s="1" t="str">
        <f t="shared" si="61"/>
        <v>014</v>
      </c>
      <c r="D217" s="1" t="str">
        <f t="shared" si="62"/>
        <v>SANTA MONICA HIGH SCHOOL</v>
      </c>
      <c r="E217" s="1" t="str">
        <f>"099"</f>
        <v>099</v>
      </c>
      <c r="F217" s="1" t="str">
        <f>"COVERED PASSAGES"</f>
        <v>COVERED PASSAGES</v>
      </c>
      <c r="G217" s="1" t="str">
        <f t="shared" si="63"/>
        <v>601 PICO BOULEVARD</v>
      </c>
      <c r="H217" s="1" t="str">
        <f t="shared" si="60"/>
        <v>SANTA MONICA</v>
      </c>
      <c r="I217" s="1" t="str">
        <f t="shared" si="58"/>
        <v>CA</v>
      </c>
      <c r="J217" s="1" t="str">
        <f t="shared" si="64"/>
        <v>90405</v>
      </c>
      <c r="K217" s="1">
        <v>2000</v>
      </c>
      <c r="L217" s="1">
        <v>1900</v>
      </c>
      <c r="M217" s="1">
        <v>55000</v>
      </c>
      <c r="N217" s="1">
        <v>0</v>
      </c>
      <c r="O217" s="1">
        <f t="shared" si="59"/>
        <v>55000</v>
      </c>
      <c r="P217" s="1">
        <v>0</v>
      </c>
      <c r="Q217" s="11">
        <v>42323</v>
      </c>
    </row>
    <row r="218" spans="1:17" x14ac:dyDescent="0.25">
      <c r="A218" s="8" t="str">
        <f t="shared" si="56"/>
        <v>042</v>
      </c>
      <c r="B218" s="1" t="str">
        <f t="shared" si="57"/>
        <v>SANTA MONICA-MALIBU UNIFIED SCHOOL DISTRICT</v>
      </c>
      <c r="C218" s="1" t="str">
        <f t="shared" si="61"/>
        <v>014</v>
      </c>
      <c r="D218" s="1" t="str">
        <f t="shared" si="62"/>
        <v>SANTA MONICA HIGH SCHOOL</v>
      </c>
      <c r="E218" s="1" t="str">
        <f>"016"</f>
        <v>016</v>
      </c>
      <c r="F218" s="1" t="str">
        <f>"CLASSROOM BUILDING"</f>
        <v>CLASSROOM BUILDING</v>
      </c>
      <c r="G218" s="1" t="str">
        <f>"601 PICO BOULVARD"</f>
        <v>601 PICO BOULVARD</v>
      </c>
      <c r="H218" s="1" t="str">
        <f t="shared" si="60"/>
        <v>SANTA MONICA</v>
      </c>
      <c r="I218" s="1" t="str">
        <f t="shared" si="58"/>
        <v>CA</v>
      </c>
      <c r="J218" s="1" t="str">
        <f t="shared" si="64"/>
        <v>90405</v>
      </c>
      <c r="K218" s="1">
        <v>2014</v>
      </c>
      <c r="L218" s="1">
        <v>97000</v>
      </c>
      <c r="M218" s="1">
        <v>44864000</v>
      </c>
      <c r="N218" s="1">
        <v>2914000</v>
      </c>
      <c r="O218" s="1">
        <f t="shared" si="59"/>
        <v>47778000</v>
      </c>
      <c r="P218" s="1">
        <v>0</v>
      </c>
      <c r="Q218" s="11">
        <v>42323</v>
      </c>
    </row>
    <row r="219" spans="1:17" x14ac:dyDescent="0.25">
      <c r="A219" s="8" t="str">
        <f t="shared" si="56"/>
        <v>042</v>
      </c>
      <c r="B219" s="1" t="str">
        <f t="shared" si="57"/>
        <v>SANTA MONICA-MALIBU UNIFIED SCHOOL DISTRICT</v>
      </c>
      <c r="C219" s="1" t="str">
        <f t="shared" ref="C219:C226" si="65">"023"</f>
        <v>023</v>
      </c>
      <c r="D219" s="1" t="str">
        <f t="shared" ref="D219:D226" si="66">"POINT DUME ELEMENTARY SCHOOL"</f>
        <v>POINT DUME ELEMENTARY SCHOOL</v>
      </c>
      <c r="E219" s="1" t="str">
        <f>"001"</f>
        <v>001</v>
      </c>
      <c r="F219" s="1" t="str">
        <f>"ADMINISTRATION/CLASSROOM BUILDING RMS"</f>
        <v>ADMINISTRATION/CLASSROOM BUILDING RMS</v>
      </c>
      <c r="G219" s="1" t="str">
        <f t="shared" ref="G219:G226" si="67">"6955 FERNHILL DRIVE"</f>
        <v>6955 FERNHILL DRIVE</v>
      </c>
      <c r="H219" s="1" t="str">
        <f t="shared" ref="H219:H226" si="68">"MALIBU"</f>
        <v>MALIBU</v>
      </c>
      <c r="I219" s="1" t="str">
        <f t="shared" si="58"/>
        <v>CA</v>
      </c>
      <c r="J219" s="1" t="str">
        <f t="shared" ref="J219:J226" si="69">"90265"</f>
        <v>90265</v>
      </c>
      <c r="K219" s="1">
        <v>1967</v>
      </c>
      <c r="L219" s="1">
        <v>8872</v>
      </c>
      <c r="M219" s="1">
        <v>2270000</v>
      </c>
      <c r="N219" s="1">
        <v>269000</v>
      </c>
      <c r="O219" s="1">
        <f t="shared" si="59"/>
        <v>2539000</v>
      </c>
      <c r="P219" s="1">
        <v>0</v>
      </c>
      <c r="Q219" s="11">
        <v>42323</v>
      </c>
    </row>
    <row r="220" spans="1:17" x14ac:dyDescent="0.25">
      <c r="A220" s="8" t="str">
        <f t="shared" si="56"/>
        <v>042</v>
      </c>
      <c r="B220" s="1" t="str">
        <f t="shared" si="57"/>
        <v>SANTA MONICA-MALIBU UNIFIED SCHOOL DISTRICT</v>
      </c>
      <c r="C220" s="1" t="str">
        <f t="shared" si="65"/>
        <v>023</v>
      </c>
      <c r="D220" s="1" t="str">
        <f t="shared" si="66"/>
        <v>POINT DUME ELEMENTARY SCHOOL</v>
      </c>
      <c r="E220" s="1" t="str">
        <f>"002"</f>
        <v>002</v>
      </c>
      <c r="F220" s="1" t="str">
        <f>"MULTIPURPOSE BUILDING"</f>
        <v>MULTIPURPOSE BUILDING</v>
      </c>
      <c r="G220" s="1" t="str">
        <f t="shared" si="67"/>
        <v>6955 FERNHILL DRIVE</v>
      </c>
      <c r="H220" s="1" t="str">
        <f t="shared" si="68"/>
        <v>MALIBU</v>
      </c>
      <c r="I220" s="1" t="str">
        <f t="shared" si="58"/>
        <v>CA</v>
      </c>
      <c r="J220" s="1" t="str">
        <f t="shared" si="69"/>
        <v>90265</v>
      </c>
      <c r="K220" s="1">
        <v>1967</v>
      </c>
      <c r="L220" s="1">
        <v>5584</v>
      </c>
      <c r="M220" s="1">
        <v>1669000</v>
      </c>
      <c r="N220" s="1">
        <v>175000</v>
      </c>
      <c r="O220" s="1">
        <f t="shared" si="59"/>
        <v>1844000</v>
      </c>
      <c r="P220" s="1">
        <v>0</v>
      </c>
      <c r="Q220" s="11">
        <v>42323</v>
      </c>
    </row>
    <row r="221" spans="1:17" x14ac:dyDescent="0.25">
      <c r="A221" s="8" t="str">
        <f t="shared" si="56"/>
        <v>042</v>
      </c>
      <c r="B221" s="1" t="str">
        <f t="shared" si="57"/>
        <v>SANTA MONICA-MALIBU UNIFIED SCHOOL DISTRICT</v>
      </c>
      <c r="C221" s="1" t="str">
        <f t="shared" si="65"/>
        <v>023</v>
      </c>
      <c r="D221" s="1" t="str">
        <f t="shared" si="66"/>
        <v>POINT DUME ELEMENTARY SCHOOL</v>
      </c>
      <c r="E221" s="1" t="str">
        <f>"003"</f>
        <v>003</v>
      </c>
      <c r="F221" s="1" t="str">
        <f>"LIBRARY BUILDING"</f>
        <v>LIBRARY BUILDING</v>
      </c>
      <c r="G221" s="1" t="str">
        <f t="shared" si="67"/>
        <v>6955 FERNHILL DRIVE</v>
      </c>
      <c r="H221" s="1" t="str">
        <f t="shared" si="68"/>
        <v>MALIBU</v>
      </c>
      <c r="I221" s="1" t="str">
        <f t="shared" si="58"/>
        <v>CA</v>
      </c>
      <c r="J221" s="1" t="str">
        <f t="shared" si="69"/>
        <v>90265</v>
      </c>
      <c r="K221" s="1">
        <v>1967</v>
      </c>
      <c r="L221" s="1">
        <v>3581</v>
      </c>
      <c r="M221" s="1">
        <v>1015000</v>
      </c>
      <c r="N221" s="1">
        <v>322000</v>
      </c>
      <c r="O221" s="1">
        <f t="shared" si="59"/>
        <v>1337000</v>
      </c>
      <c r="P221" s="1">
        <v>0</v>
      </c>
      <c r="Q221" s="11">
        <v>42323</v>
      </c>
    </row>
    <row r="222" spans="1:17" x14ac:dyDescent="0.25">
      <c r="A222" s="8" t="str">
        <f t="shared" si="56"/>
        <v>042</v>
      </c>
      <c r="B222" s="1" t="str">
        <f t="shared" si="57"/>
        <v>SANTA MONICA-MALIBU UNIFIED SCHOOL DISTRICT</v>
      </c>
      <c r="C222" s="1" t="str">
        <f t="shared" si="65"/>
        <v>023</v>
      </c>
      <c r="D222" s="1" t="str">
        <f t="shared" si="66"/>
        <v>POINT DUME ELEMENTARY SCHOOL</v>
      </c>
      <c r="E222" s="1" t="str">
        <f>"004"</f>
        <v>004</v>
      </c>
      <c r="F222" s="1" t="str">
        <f>"CLASSROOM BUILDING RMS 3-9"</f>
        <v>CLASSROOM BUILDING RMS 3-9</v>
      </c>
      <c r="G222" s="1" t="str">
        <f t="shared" si="67"/>
        <v>6955 FERNHILL DRIVE</v>
      </c>
      <c r="H222" s="1" t="str">
        <f t="shared" si="68"/>
        <v>MALIBU</v>
      </c>
      <c r="I222" s="1" t="str">
        <f t="shared" si="58"/>
        <v>CA</v>
      </c>
      <c r="J222" s="1" t="str">
        <f t="shared" si="69"/>
        <v>90265</v>
      </c>
      <c r="K222" s="1">
        <v>1967</v>
      </c>
      <c r="L222" s="1">
        <v>7458</v>
      </c>
      <c r="M222" s="1">
        <v>2117000</v>
      </c>
      <c r="N222" s="1">
        <v>226000</v>
      </c>
      <c r="O222" s="1">
        <f t="shared" si="59"/>
        <v>2343000</v>
      </c>
      <c r="P222" s="1">
        <v>0</v>
      </c>
      <c r="Q222" s="11">
        <v>42324</v>
      </c>
    </row>
    <row r="223" spans="1:17" x14ac:dyDescent="0.25">
      <c r="A223" s="8" t="str">
        <f t="shared" si="56"/>
        <v>042</v>
      </c>
      <c r="B223" s="1" t="str">
        <f t="shared" si="57"/>
        <v>SANTA MONICA-MALIBU UNIFIED SCHOOL DISTRICT</v>
      </c>
      <c r="C223" s="1" t="str">
        <f t="shared" si="65"/>
        <v>023</v>
      </c>
      <c r="D223" s="1" t="str">
        <f t="shared" si="66"/>
        <v>POINT DUME ELEMENTARY SCHOOL</v>
      </c>
      <c r="E223" s="1" t="str">
        <f>"005"</f>
        <v>005</v>
      </c>
      <c r="F223" s="1" t="str">
        <f>"CLASSROOM BUILDING RMS 10-12"</f>
        <v>CLASSROOM BUILDING RMS 10-12</v>
      </c>
      <c r="G223" s="1" t="str">
        <f t="shared" si="67"/>
        <v>6955 FERNHILL DRIVE</v>
      </c>
      <c r="H223" s="1" t="str">
        <f t="shared" si="68"/>
        <v>MALIBU</v>
      </c>
      <c r="I223" s="1" t="str">
        <f t="shared" si="58"/>
        <v>CA</v>
      </c>
      <c r="J223" s="1" t="str">
        <f t="shared" si="69"/>
        <v>90265</v>
      </c>
      <c r="K223" s="1">
        <v>1967</v>
      </c>
      <c r="L223" s="1">
        <v>3020</v>
      </c>
      <c r="M223" s="1">
        <v>794000</v>
      </c>
      <c r="N223" s="1">
        <v>91000</v>
      </c>
      <c r="O223" s="1">
        <f t="shared" si="59"/>
        <v>885000</v>
      </c>
      <c r="P223" s="1">
        <v>0</v>
      </c>
      <c r="Q223" s="11">
        <v>42324</v>
      </c>
    </row>
    <row r="224" spans="1:17" x14ac:dyDescent="0.25">
      <c r="A224" s="8" t="str">
        <f t="shared" si="56"/>
        <v>042</v>
      </c>
      <c r="B224" s="1" t="str">
        <f t="shared" si="57"/>
        <v>SANTA MONICA-MALIBU UNIFIED SCHOOL DISTRICT</v>
      </c>
      <c r="C224" s="1" t="str">
        <f t="shared" si="65"/>
        <v>023</v>
      </c>
      <c r="D224" s="1" t="str">
        <f t="shared" si="66"/>
        <v>POINT DUME ELEMENTARY SCHOOL</v>
      </c>
      <c r="E224" s="1" t="str">
        <f>"006"</f>
        <v>006</v>
      </c>
      <c r="F224" s="1" t="str">
        <f>"CLASSROOM BUILDING RMS 13-18"</f>
        <v>CLASSROOM BUILDING RMS 13-18</v>
      </c>
      <c r="G224" s="1" t="str">
        <f t="shared" si="67"/>
        <v>6955 FERNHILL DRIVE</v>
      </c>
      <c r="H224" s="1" t="str">
        <f t="shared" si="68"/>
        <v>MALIBU</v>
      </c>
      <c r="I224" s="1" t="str">
        <f t="shared" si="58"/>
        <v>CA</v>
      </c>
      <c r="J224" s="1" t="str">
        <f t="shared" si="69"/>
        <v>90265</v>
      </c>
      <c r="K224" s="1">
        <v>1967</v>
      </c>
      <c r="L224" s="1">
        <v>6168</v>
      </c>
      <c r="M224" s="1">
        <v>1705000</v>
      </c>
      <c r="N224" s="1">
        <v>187000</v>
      </c>
      <c r="O224" s="1">
        <f t="shared" si="59"/>
        <v>1892000</v>
      </c>
      <c r="P224" s="1">
        <v>0</v>
      </c>
      <c r="Q224" s="11">
        <v>42324</v>
      </c>
    </row>
    <row r="225" spans="1:17" x14ac:dyDescent="0.25">
      <c r="A225" s="8" t="str">
        <f t="shared" si="56"/>
        <v>042</v>
      </c>
      <c r="B225" s="1" t="str">
        <f t="shared" si="57"/>
        <v>SANTA MONICA-MALIBU UNIFIED SCHOOL DISTRICT</v>
      </c>
      <c r="C225" s="1" t="str">
        <f t="shared" si="65"/>
        <v>023</v>
      </c>
      <c r="D225" s="1" t="str">
        <f t="shared" si="66"/>
        <v>POINT DUME ELEMENTARY SCHOOL</v>
      </c>
      <c r="E225" s="1" t="str">
        <f>"098"</f>
        <v>098</v>
      </c>
      <c r="F225" s="1" t="str">
        <f>"COVERED EATING AREA"</f>
        <v>COVERED EATING AREA</v>
      </c>
      <c r="G225" s="1" t="str">
        <f t="shared" si="67"/>
        <v>6955 FERNHILL DRIVE</v>
      </c>
      <c r="H225" s="1" t="str">
        <f t="shared" si="68"/>
        <v>MALIBU</v>
      </c>
      <c r="I225" s="1" t="str">
        <f t="shared" si="58"/>
        <v>CA</v>
      </c>
      <c r="J225" s="1" t="str">
        <f t="shared" si="69"/>
        <v>90265</v>
      </c>
      <c r="K225" s="1">
        <v>1972</v>
      </c>
      <c r="L225" s="1">
        <v>4455</v>
      </c>
      <c r="M225" s="1">
        <v>165000</v>
      </c>
      <c r="N225" s="1">
        <v>0</v>
      </c>
      <c r="O225" s="1">
        <f t="shared" si="59"/>
        <v>165000</v>
      </c>
      <c r="P225" s="1">
        <v>0</v>
      </c>
      <c r="Q225" s="11">
        <v>42324</v>
      </c>
    </row>
    <row r="226" spans="1:17" x14ac:dyDescent="0.25">
      <c r="A226" s="8" t="str">
        <f t="shared" si="56"/>
        <v>042</v>
      </c>
      <c r="B226" s="1" t="str">
        <f t="shared" si="57"/>
        <v>SANTA MONICA-MALIBU UNIFIED SCHOOL DISTRICT</v>
      </c>
      <c r="C226" s="1" t="str">
        <f t="shared" si="65"/>
        <v>023</v>
      </c>
      <c r="D226" s="1" t="str">
        <f t="shared" si="66"/>
        <v>POINT DUME ELEMENTARY SCHOOL</v>
      </c>
      <c r="E226" s="1" t="str">
        <f>"099"</f>
        <v>099</v>
      </c>
      <c r="F226" s="1" t="str">
        <f>"COVERED PASSAGES"</f>
        <v>COVERED PASSAGES</v>
      </c>
      <c r="G226" s="1" t="str">
        <f t="shared" si="67"/>
        <v>6955 FERNHILL DRIVE</v>
      </c>
      <c r="H226" s="1" t="str">
        <f t="shared" si="68"/>
        <v>MALIBU</v>
      </c>
      <c r="I226" s="1" t="str">
        <f t="shared" si="58"/>
        <v>CA</v>
      </c>
      <c r="J226" s="1" t="str">
        <f t="shared" si="69"/>
        <v>90265</v>
      </c>
      <c r="K226" s="1">
        <v>1972</v>
      </c>
      <c r="L226" s="1">
        <v>5360</v>
      </c>
      <c r="M226" s="1">
        <v>154000</v>
      </c>
      <c r="N226" s="1">
        <v>0</v>
      </c>
      <c r="O226" s="1">
        <f t="shared" si="59"/>
        <v>154000</v>
      </c>
      <c r="P226" s="1">
        <v>0</v>
      </c>
      <c r="Q226" s="11">
        <v>42324</v>
      </c>
    </row>
    <row r="227" spans="1:17" x14ac:dyDescent="0.25">
      <c r="A227" s="8" t="str">
        <f t="shared" si="56"/>
        <v>042</v>
      </c>
      <c r="B227" s="1" t="str">
        <f t="shared" si="57"/>
        <v>SANTA MONICA-MALIBU UNIFIED SCHOOL DISTRICT</v>
      </c>
      <c r="C227" s="1" t="str">
        <f t="shared" ref="C227:C236" si="70">"006"</f>
        <v>006</v>
      </c>
      <c r="D227" s="1" t="str">
        <f t="shared" ref="D227:D236" si="71">"OLYMPIC HIGH SCHOOL/ADULT SCHOOL"</f>
        <v>OLYMPIC HIGH SCHOOL/ADULT SCHOOL</v>
      </c>
      <c r="E227" s="1" t="str">
        <f>"001"</f>
        <v>001</v>
      </c>
      <c r="F227" s="1" t="str">
        <f>"MAIN BUILDING"</f>
        <v>MAIN BUILDING</v>
      </c>
      <c r="G227" s="1" t="str">
        <f t="shared" ref="G227:G236" si="72">"721 OCEAN PARK BOULEVARD"</f>
        <v>721 OCEAN PARK BOULEVARD</v>
      </c>
      <c r="H227" s="1" t="str">
        <f t="shared" ref="H227:H266" si="73">"SANTA MONICA"</f>
        <v>SANTA MONICA</v>
      </c>
      <c r="I227" s="1" t="str">
        <f t="shared" si="58"/>
        <v>CA</v>
      </c>
      <c r="J227" s="1" t="str">
        <f t="shared" ref="J227:J236" si="74">"90405"</f>
        <v>90405</v>
      </c>
      <c r="K227" s="1">
        <v>1923</v>
      </c>
      <c r="L227" s="1">
        <v>24434</v>
      </c>
      <c r="M227" s="1">
        <v>7246000</v>
      </c>
      <c r="N227" s="1">
        <v>781000</v>
      </c>
      <c r="O227" s="1">
        <f t="shared" si="59"/>
        <v>8027000</v>
      </c>
      <c r="P227" s="1">
        <v>1555</v>
      </c>
      <c r="Q227" s="11">
        <v>42327</v>
      </c>
    </row>
    <row r="228" spans="1:17" x14ac:dyDescent="0.25">
      <c r="A228" s="8" t="str">
        <f t="shared" si="56"/>
        <v>042</v>
      </c>
      <c r="B228" s="1" t="str">
        <f t="shared" si="57"/>
        <v>SANTA MONICA-MALIBU UNIFIED SCHOOL DISTRICT</v>
      </c>
      <c r="C228" s="1" t="str">
        <f t="shared" si="70"/>
        <v>006</v>
      </c>
      <c r="D228" s="1" t="str">
        <f t="shared" si="71"/>
        <v>OLYMPIC HIGH SCHOOL/ADULT SCHOOL</v>
      </c>
      <c r="E228" s="1" t="str">
        <f>"002"</f>
        <v>002</v>
      </c>
      <c r="F228" s="1" t="str">
        <f>"CLASSROOM BUILDING RMS 12-17"</f>
        <v>CLASSROOM BUILDING RMS 12-17</v>
      </c>
      <c r="G228" s="1" t="str">
        <f t="shared" si="72"/>
        <v>721 OCEAN PARK BOULEVARD</v>
      </c>
      <c r="H228" s="1" t="str">
        <f t="shared" si="73"/>
        <v>SANTA MONICA</v>
      </c>
      <c r="I228" s="1" t="str">
        <f t="shared" si="58"/>
        <v>CA</v>
      </c>
      <c r="J228" s="1" t="str">
        <f t="shared" si="74"/>
        <v>90405</v>
      </c>
      <c r="K228" s="1">
        <v>1937</v>
      </c>
      <c r="L228" s="1">
        <v>6700</v>
      </c>
      <c r="M228" s="1">
        <v>1935000</v>
      </c>
      <c r="N228" s="1">
        <v>201000</v>
      </c>
      <c r="O228" s="1">
        <f t="shared" si="59"/>
        <v>2136000</v>
      </c>
      <c r="P228" s="1">
        <v>0</v>
      </c>
      <c r="Q228" s="11">
        <v>42327</v>
      </c>
    </row>
    <row r="229" spans="1:17" x14ac:dyDescent="0.25">
      <c r="A229" s="8" t="str">
        <f t="shared" si="56"/>
        <v>042</v>
      </c>
      <c r="B229" s="1" t="str">
        <f t="shared" si="57"/>
        <v>SANTA MONICA-MALIBU UNIFIED SCHOOL DISTRICT</v>
      </c>
      <c r="C229" s="1" t="str">
        <f t="shared" si="70"/>
        <v>006</v>
      </c>
      <c r="D229" s="1" t="str">
        <f t="shared" si="71"/>
        <v>OLYMPIC HIGH SCHOOL/ADULT SCHOOL</v>
      </c>
      <c r="E229" s="1" t="str">
        <f>"003"</f>
        <v>003</v>
      </c>
      <c r="F229" s="1" t="str">
        <f>"CLASSROOM BUILDING RMS 9-10"</f>
        <v>CLASSROOM BUILDING RMS 9-10</v>
      </c>
      <c r="G229" s="1" t="str">
        <f t="shared" si="72"/>
        <v>721 OCEAN PARK BOULEVARD</v>
      </c>
      <c r="H229" s="1" t="str">
        <f t="shared" si="73"/>
        <v>SANTA MONICA</v>
      </c>
      <c r="I229" s="1" t="str">
        <f t="shared" si="58"/>
        <v>CA</v>
      </c>
      <c r="J229" s="1" t="str">
        <f t="shared" si="74"/>
        <v>90405</v>
      </c>
      <c r="K229" s="1">
        <v>1937</v>
      </c>
      <c r="L229" s="1">
        <v>2400</v>
      </c>
      <c r="M229" s="1">
        <v>723000</v>
      </c>
      <c r="N229" s="1">
        <v>72000</v>
      </c>
      <c r="O229" s="1">
        <f t="shared" si="59"/>
        <v>795000</v>
      </c>
      <c r="P229" s="1">
        <v>0</v>
      </c>
      <c r="Q229" s="11">
        <v>42327</v>
      </c>
    </row>
    <row r="230" spans="1:17" x14ac:dyDescent="0.25">
      <c r="A230" s="8" t="str">
        <f t="shared" si="56"/>
        <v>042</v>
      </c>
      <c r="B230" s="1" t="str">
        <f t="shared" si="57"/>
        <v>SANTA MONICA-MALIBU UNIFIED SCHOOL DISTRICT</v>
      </c>
      <c r="C230" s="1" t="str">
        <f t="shared" si="70"/>
        <v>006</v>
      </c>
      <c r="D230" s="1" t="str">
        <f t="shared" si="71"/>
        <v>OLYMPIC HIGH SCHOOL/ADULT SCHOOL</v>
      </c>
      <c r="E230" s="1" t="str">
        <f>"098"</f>
        <v>098</v>
      </c>
      <c r="F230" s="1" t="str">
        <f>"COVERED EATING AREA"</f>
        <v>COVERED EATING AREA</v>
      </c>
      <c r="G230" s="1" t="str">
        <f t="shared" si="72"/>
        <v>721 OCEAN PARK BOULEVARD</v>
      </c>
      <c r="H230" s="1" t="str">
        <f t="shared" si="73"/>
        <v>SANTA MONICA</v>
      </c>
      <c r="I230" s="1" t="str">
        <f t="shared" si="58"/>
        <v>CA</v>
      </c>
      <c r="J230" s="1" t="str">
        <f t="shared" si="74"/>
        <v>90405</v>
      </c>
      <c r="K230" s="1">
        <v>2012</v>
      </c>
      <c r="L230" s="1">
        <v>504</v>
      </c>
      <c r="M230" s="1">
        <v>10000</v>
      </c>
      <c r="N230" s="1">
        <v>0</v>
      </c>
      <c r="O230" s="1">
        <f t="shared" si="59"/>
        <v>10000</v>
      </c>
      <c r="P230" s="1">
        <v>0</v>
      </c>
      <c r="Q230" s="11">
        <v>42327</v>
      </c>
    </row>
    <row r="231" spans="1:17" x14ac:dyDescent="0.25">
      <c r="A231" s="8" t="str">
        <f t="shared" si="56"/>
        <v>042</v>
      </c>
      <c r="B231" s="1" t="str">
        <f t="shared" si="57"/>
        <v>SANTA MONICA-MALIBU UNIFIED SCHOOL DISTRICT</v>
      </c>
      <c r="C231" s="1" t="str">
        <f t="shared" si="70"/>
        <v>006</v>
      </c>
      <c r="D231" s="1" t="str">
        <f t="shared" si="71"/>
        <v>OLYMPIC HIGH SCHOOL/ADULT SCHOOL</v>
      </c>
      <c r="E231" s="1" t="str">
        <f>"098A"</f>
        <v>098A</v>
      </c>
      <c r="F231" s="1" t="str">
        <f>"COVERED EATING AREA"</f>
        <v>COVERED EATING AREA</v>
      </c>
      <c r="G231" s="1" t="str">
        <f t="shared" si="72"/>
        <v>721 OCEAN PARK BOULEVARD</v>
      </c>
      <c r="H231" s="1" t="str">
        <f t="shared" si="73"/>
        <v>SANTA MONICA</v>
      </c>
      <c r="I231" s="1" t="str">
        <f t="shared" si="58"/>
        <v>CA</v>
      </c>
      <c r="J231" s="1" t="str">
        <f t="shared" si="74"/>
        <v>90405</v>
      </c>
      <c r="K231" s="1">
        <v>2012</v>
      </c>
      <c r="L231" s="1">
        <v>720</v>
      </c>
      <c r="M231" s="1">
        <v>14000</v>
      </c>
      <c r="N231" s="1">
        <v>0</v>
      </c>
      <c r="O231" s="1">
        <f t="shared" si="59"/>
        <v>14000</v>
      </c>
      <c r="P231" s="1">
        <v>0</v>
      </c>
      <c r="Q231" s="11">
        <v>42327</v>
      </c>
    </row>
    <row r="232" spans="1:17" x14ac:dyDescent="0.25">
      <c r="A232" s="8" t="str">
        <f t="shared" si="56"/>
        <v>042</v>
      </c>
      <c r="B232" s="1" t="str">
        <f t="shared" si="57"/>
        <v>SANTA MONICA-MALIBU UNIFIED SCHOOL DISTRICT</v>
      </c>
      <c r="C232" s="1" t="str">
        <f t="shared" si="70"/>
        <v>006</v>
      </c>
      <c r="D232" s="1" t="str">
        <f t="shared" si="71"/>
        <v>OLYMPIC HIGH SCHOOL/ADULT SCHOOL</v>
      </c>
      <c r="E232" s="1" t="str">
        <f>"099"</f>
        <v>099</v>
      </c>
      <c r="F232" s="1" t="str">
        <f>"COVERED PASSAGES"</f>
        <v>COVERED PASSAGES</v>
      </c>
      <c r="G232" s="1" t="str">
        <f t="shared" si="72"/>
        <v>721 OCEAN PARK BOULEVARD</v>
      </c>
      <c r="H232" s="1" t="str">
        <f t="shared" si="73"/>
        <v>SANTA MONICA</v>
      </c>
      <c r="I232" s="1" t="str">
        <f t="shared" si="58"/>
        <v>CA</v>
      </c>
      <c r="J232" s="1" t="str">
        <f t="shared" si="74"/>
        <v>90405</v>
      </c>
      <c r="K232" s="1">
        <v>1930</v>
      </c>
      <c r="L232" s="1">
        <v>5610</v>
      </c>
      <c r="M232" s="1">
        <v>161000</v>
      </c>
      <c r="N232" s="1">
        <v>0</v>
      </c>
      <c r="O232" s="1">
        <f t="shared" si="59"/>
        <v>161000</v>
      </c>
      <c r="P232" s="1">
        <v>0</v>
      </c>
      <c r="Q232" s="11">
        <v>42327</v>
      </c>
    </row>
    <row r="233" spans="1:17" x14ac:dyDescent="0.25">
      <c r="A233" s="8" t="str">
        <f t="shared" si="56"/>
        <v>042</v>
      </c>
      <c r="B233" s="1" t="str">
        <f t="shared" si="57"/>
        <v>SANTA MONICA-MALIBU UNIFIED SCHOOL DISTRICT</v>
      </c>
      <c r="C233" s="1" t="str">
        <f t="shared" si="70"/>
        <v>006</v>
      </c>
      <c r="D233" s="1" t="str">
        <f t="shared" si="71"/>
        <v>OLYMPIC HIGH SCHOOL/ADULT SCHOOL</v>
      </c>
      <c r="E233" s="1" t="str">
        <f>"906"</f>
        <v>906</v>
      </c>
      <c r="F233" s="1" t="str">
        <f>"PORTABLE OFFICE"</f>
        <v>PORTABLE OFFICE</v>
      </c>
      <c r="G233" s="1" t="str">
        <f t="shared" si="72"/>
        <v>721 OCEAN PARK BOULEVARD</v>
      </c>
      <c r="H233" s="1" t="str">
        <f t="shared" si="73"/>
        <v>SANTA MONICA</v>
      </c>
      <c r="I233" s="1" t="str">
        <f t="shared" si="58"/>
        <v>CA</v>
      </c>
      <c r="J233" s="1" t="str">
        <f t="shared" si="74"/>
        <v>90405</v>
      </c>
      <c r="K233" s="1">
        <v>1997</v>
      </c>
      <c r="L233" s="1">
        <v>960</v>
      </c>
      <c r="M233" s="1">
        <v>96000</v>
      </c>
      <c r="N233" s="1">
        <v>21000</v>
      </c>
      <c r="O233" s="1">
        <f t="shared" si="59"/>
        <v>117000</v>
      </c>
      <c r="P233" s="1">
        <v>0</v>
      </c>
      <c r="Q233" s="11">
        <v>42327</v>
      </c>
    </row>
    <row r="234" spans="1:17" x14ac:dyDescent="0.25">
      <c r="A234" s="8" t="str">
        <f t="shared" si="56"/>
        <v>042</v>
      </c>
      <c r="B234" s="1" t="str">
        <f t="shared" si="57"/>
        <v>SANTA MONICA-MALIBU UNIFIED SCHOOL DISTRICT</v>
      </c>
      <c r="C234" s="1" t="str">
        <f t="shared" si="70"/>
        <v>006</v>
      </c>
      <c r="D234" s="1" t="str">
        <f t="shared" si="71"/>
        <v>OLYMPIC HIGH SCHOOL/ADULT SCHOOL</v>
      </c>
      <c r="E234" s="1" t="str">
        <f>"907"</f>
        <v>907</v>
      </c>
      <c r="F234" s="1" t="str">
        <f>"PORTABLE CLASSROOM BUILDING RM B"</f>
        <v>PORTABLE CLASSROOM BUILDING RM B</v>
      </c>
      <c r="G234" s="1" t="str">
        <f t="shared" si="72"/>
        <v>721 OCEAN PARK BOULEVARD</v>
      </c>
      <c r="H234" s="1" t="str">
        <f t="shared" si="73"/>
        <v>SANTA MONICA</v>
      </c>
      <c r="I234" s="1" t="str">
        <f t="shared" si="58"/>
        <v>CA</v>
      </c>
      <c r="J234" s="1" t="str">
        <f t="shared" si="74"/>
        <v>90405</v>
      </c>
      <c r="K234" s="1">
        <v>1997</v>
      </c>
      <c r="L234" s="1">
        <v>960</v>
      </c>
      <c r="M234" s="1">
        <v>96000</v>
      </c>
      <c r="N234" s="1">
        <v>21000</v>
      </c>
      <c r="O234" s="1">
        <f t="shared" si="59"/>
        <v>117000</v>
      </c>
      <c r="P234" s="1">
        <v>0</v>
      </c>
      <c r="Q234" s="11">
        <v>42327</v>
      </c>
    </row>
    <row r="235" spans="1:17" x14ac:dyDescent="0.25">
      <c r="A235" s="8" t="str">
        <f t="shared" si="56"/>
        <v>042</v>
      </c>
      <c r="B235" s="1" t="str">
        <f t="shared" si="57"/>
        <v>SANTA MONICA-MALIBU UNIFIED SCHOOL DISTRICT</v>
      </c>
      <c r="C235" s="1" t="str">
        <f t="shared" si="70"/>
        <v>006</v>
      </c>
      <c r="D235" s="1" t="str">
        <f t="shared" si="71"/>
        <v>OLYMPIC HIGH SCHOOL/ADULT SCHOOL</v>
      </c>
      <c r="E235" s="1" t="str">
        <f>"908"</f>
        <v>908</v>
      </c>
      <c r="F235" s="1" t="str">
        <f>"PORTABLE CLASSROOM BUILDING RM O.T. KITCHEN"</f>
        <v>PORTABLE CLASSROOM BUILDING RM O.T. KITCHEN</v>
      </c>
      <c r="G235" s="1" t="str">
        <f t="shared" si="72"/>
        <v>721 OCEAN PARK BOULEVARD</v>
      </c>
      <c r="H235" s="1" t="str">
        <f t="shared" si="73"/>
        <v>SANTA MONICA</v>
      </c>
      <c r="I235" s="1" t="str">
        <f t="shared" si="58"/>
        <v>CA</v>
      </c>
      <c r="J235" s="1" t="str">
        <f t="shared" si="74"/>
        <v>90405</v>
      </c>
      <c r="K235" s="1">
        <v>1997</v>
      </c>
      <c r="L235" s="1">
        <v>960</v>
      </c>
      <c r="M235" s="1">
        <v>96000</v>
      </c>
      <c r="N235" s="1">
        <v>21000</v>
      </c>
      <c r="O235" s="1">
        <f t="shared" si="59"/>
        <v>117000</v>
      </c>
      <c r="P235" s="1">
        <v>0</v>
      </c>
      <c r="Q235" s="11">
        <v>42327</v>
      </c>
    </row>
    <row r="236" spans="1:17" x14ac:dyDescent="0.25">
      <c r="A236" s="8" t="str">
        <f t="shared" si="56"/>
        <v>042</v>
      </c>
      <c r="B236" s="1" t="str">
        <f t="shared" si="57"/>
        <v>SANTA MONICA-MALIBU UNIFIED SCHOOL DISTRICT</v>
      </c>
      <c r="C236" s="1" t="str">
        <f t="shared" si="70"/>
        <v>006</v>
      </c>
      <c r="D236" s="1" t="str">
        <f t="shared" si="71"/>
        <v>OLYMPIC HIGH SCHOOL/ADULT SCHOOL</v>
      </c>
      <c r="E236" s="1" t="str">
        <f>"909"</f>
        <v>909</v>
      </c>
      <c r="F236" s="1" t="str">
        <f>"PORTABLE CLASSROOM BUILDING RM A"</f>
        <v>PORTABLE CLASSROOM BUILDING RM A</v>
      </c>
      <c r="G236" s="1" t="str">
        <f t="shared" si="72"/>
        <v>721 OCEAN PARK BOULEVARD</v>
      </c>
      <c r="H236" s="1" t="str">
        <f t="shared" si="73"/>
        <v>SANTA MONICA</v>
      </c>
      <c r="I236" s="1" t="str">
        <f t="shared" si="58"/>
        <v>CA</v>
      </c>
      <c r="J236" s="1" t="str">
        <f t="shared" si="74"/>
        <v>90405</v>
      </c>
      <c r="K236" s="1">
        <v>1997</v>
      </c>
      <c r="L236" s="1">
        <v>960</v>
      </c>
      <c r="M236" s="1">
        <v>96000</v>
      </c>
      <c r="N236" s="1">
        <v>21000</v>
      </c>
      <c r="O236" s="1">
        <f t="shared" si="59"/>
        <v>117000</v>
      </c>
      <c r="P236" s="1">
        <v>0</v>
      </c>
      <c r="Q236" s="11">
        <v>42327</v>
      </c>
    </row>
    <row r="237" spans="1:17" x14ac:dyDescent="0.25">
      <c r="A237" s="8" t="str">
        <f t="shared" si="56"/>
        <v>042</v>
      </c>
      <c r="B237" s="1" t="str">
        <f t="shared" si="57"/>
        <v>SANTA MONICA-MALIBU UNIFIED SCHOOL DISTRICT</v>
      </c>
      <c r="C237" s="1" t="str">
        <f t="shared" ref="C237:C266" si="75">"008"</f>
        <v>008</v>
      </c>
      <c r="D237" s="1" t="str">
        <f t="shared" ref="D237:D266" si="76">"ROOSEVELT ELEMENTARY SCHOOL"</f>
        <v>ROOSEVELT ELEMENTARY SCHOOL</v>
      </c>
      <c r="E237" s="1" t="str">
        <f>"005"</f>
        <v>005</v>
      </c>
      <c r="F237" s="1" t="str">
        <f>"CLASSROOM BUILDING RM 8"</f>
        <v>CLASSROOM BUILDING RM 8</v>
      </c>
      <c r="G237" s="1" t="str">
        <f t="shared" ref="G237:G266" si="77">"801 MONTANA AVENUE"</f>
        <v>801 MONTANA AVENUE</v>
      </c>
      <c r="H237" s="1" t="str">
        <f t="shared" si="73"/>
        <v>SANTA MONICA</v>
      </c>
      <c r="I237" s="1" t="str">
        <f t="shared" si="58"/>
        <v>CA</v>
      </c>
      <c r="J237" s="1" t="str">
        <f t="shared" ref="J237:J266" si="78">"90403"</f>
        <v>90403</v>
      </c>
      <c r="K237" s="1">
        <v>1940</v>
      </c>
      <c r="L237" s="1">
        <v>1050</v>
      </c>
      <c r="M237" s="1">
        <v>285000</v>
      </c>
      <c r="N237" s="1">
        <v>32000</v>
      </c>
      <c r="O237" s="1">
        <f t="shared" si="59"/>
        <v>317000</v>
      </c>
      <c r="P237" s="1">
        <v>0</v>
      </c>
      <c r="Q237" s="11">
        <v>42323</v>
      </c>
    </row>
    <row r="238" spans="1:17" x14ac:dyDescent="0.25">
      <c r="A238" s="8" t="str">
        <f t="shared" si="56"/>
        <v>042</v>
      </c>
      <c r="B238" s="1" t="str">
        <f t="shared" si="57"/>
        <v>SANTA MONICA-MALIBU UNIFIED SCHOOL DISTRICT</v>
      </c>
      <c r="C238" s="1" t="str">
        <f t="shared" si="75"/>
        <v>008</v>
      </c>
      <c r="D238" s="1" t="str">
        <f t="shared" si="76"/>
        <v>ROOSEVELT ELEMENTARY SCHOOL</v>
      </c>
      <c r="E238" s="1" t="str">
        <f>"006"</f>
        <v>006</v>
      </c>
      <c r="F238" s="1" t="str">
        <f>"CLASSROOM BUILDING RMS 9-13"</f>
        <v>CLASSROOM BUILDING RMS 9-13</v>
      </c>
      <c r="G238" s="1" t="str">
        <f t="shared" si="77"/>
        <v>801 MONTANA AVENUE</v>
      </c>
      <c r="H238" s="1" t="str">
        <f t="shared" si="73"/>
        <v>SANTA MONICA</v>
      </c>
      <c r="I238" s="1" t="str">
        <f t="shared" si="58"/>
        <v>CA</v>
      </c>
      <c r="J238" s="1" t="str">
        <f t="shared" si="78"/>
        <v>90403</v>
      </c>
      <c r="K238" s="1">
        <v>1940</v>
      </c>
      <c r="L238" s="1">
        <v>5800</v>
      </c>
      <c r="M238" s="1">
        <v>1626000</v>
      </c>
      <c r="N238" s="1">
        <v>176000</v>
      </c>
      <c r="O238" s="1">
        <f t="shared" si="59"/>
        <v>1802000</v>
      </c>
      <c r="P238" s="1">
        <v>0</v>
      </c>
      <c r="Q238" s="11">
        <v>42323</v>
      </c>
    </row>
    <row r="239" spans="1:17" x14ac:dyDescent="0.25">
      <c r="A239" s="8" t="str">
        <f t="shared" si="56"/>
        <v>042</v>
      </c>
      <c r="B239" s="1" t="str">
        <f t="shared" si="57"/>
        <v>SANTA MONICA-MALIBU UNIFIED SCHOOL DISTRICT</v>
      </c>
      <c r="C239" s="1" t="str">
        <f t="shared" si="75"/>
        <v>008</v>
      </c>
      <c r="D239" s="1" t="str">
        <f t="shared" si="76"/>
        <v>ROOSEVELT ELEMENTARY SCHOOL</v>
      </c>
      <c r="E239" s="1" t="str">
        <f>"018"</f>
        <v>018</v>
      </c>
      <c r="F239" s="1" t="str">
        <f>"PE STORAGE/RESTROOM BUILDING"</f>
        <v>PE STORAGE/RESTROOM BUILDING</v>
      </c>
      <c r="G239" s="1" t="str">
        <f t="shared" si="77"/>
        <v>801 MONTANA AVENUE</v>
      </c>
      <c r="H239" s="1" t="str">
        <f t="shared" si="73"/>
        <v>SANTA MONICA</v>
      </c>
      <c r="I239" s="1" t="str">
        <f t="shared" si="58"/>
        <v>CA</v>
      </c>
      <c r="J239" s="1" t="str">
        <f t="shared" si="78"/>
        <v>90403</v>
      </c>
      <c r="K239" s="1">
        <v>2000</v>
      </c>
      <c r="L239" s="1">
        <v>414</v>
      </c>
      <c r="M239" s="1">
        <v>104000</v>
      </c>
      <c r="N239" s="1">
        <v>17000</v>
      </c>
      <c r="O239" s="1">
        <f t="shared" si="59"/>
        <v>121000</v>
      </c>
      <c r="P239" s="1">
        <v>0</v>
      </c>
      <c r="Q239" s="11">
        <v>42323</v>
      </c>
    </row>
    <row r="240" spans="1:17" x14ac:dyDescent="0.25">
      <c r="A240" s="8" t="str">
        <f t="shared" si="56"/>
        <v>042</v>
      </c>
      <c r="B240" s="1" t="str">
        <f t="shared" si="57"/>
        <v>SANTA MONICA-MALIBU UNIFIED SCHOOL DISTRICT</v>
      </c>
      <c r="C240" s="1" t="str">
        <f t="shared" si="75"/>
        <v>008</v>
      </c>
      <c r="D240" s="1" t="str">
        <f t="shared" si="76"/>
        <v>ROOSEVELT ELEMENTARY SCHOOL</v>
      </c>
      <c r="E240" s="1" t="str">
        <f>"001"</f>
        <v>001</v>
      </c>
      <c r="F240" s="1" t="str">
        <f>"ADMINISTRATION BUILDING"</f>
        <v>ADMINISTRATION BUILDING</v>
      </c>
      <c r="G240" s="1" t="str">
        <f t="shared" si="77"/>
        <v>801 MONTANA AVENUE</v>
      </c>
      <c r="H240" s="1" t="str">
        <f t="shared" si="73"/>
        <v>SANTA MONICA</v>
      </c>
      <c r="I240" s="1" t="str">
        <f t="shared" si="58"/>
        <v>CA</v>
      </c>
      <c r="J240" s="1" t="str">
        <f t="shared" si="78"/>
        <v>90403</v>
      </c>
      <c r="K240" s="1">
        <v>1934</v>
      </c>
      <c r="L240" s="1">
        <v>4731</v>
      </c>
      <c r="M240" s="1">
        <v>1282000</v>
      </c>
      <c r="N240" s="1">
        <v>156000</v>
      </c>
      <c r="O240" s="1">
        <f t="shared" si="59"/>
        <v>1438000</v>
      </c>
      <c r="P240" s="1">
        <v>0</v>
      </c>
      <c r="Q240" s="11">
        <v>42326</v>
      </c>
    </row>
    <row r="241" spans="1:17" x14ac:dyDescent="0.25">
      <c r="A241" s="8" t="str">
        <f t="shared" si="56"/>
        <v>042</v>
      </c>
      <c r="B241" s="1" t="str">
        <f t="shared" si="57"/>
        <v>SANTA MONICA-MALIBU UNIFIED SCHOOL DISTRICT</v>
      </c>
      <c r="C241" s="1" t="str">
        <f t="shared" si="75"/>
        <v>008</v>
      </c>
      <c r="D241" s="1" t="str">
        <f t="shared" si="76"/>
        <v>ROOSEVELT ELEMENTARY SCHOOL</v>
      </c>
      <c r="E241" s="1" t="str">
        <f>"010"</f>
        <v>010</v>
      </c>
      <c r="F241" s="1" t="str">
        <f>"CLASSROOM BUILDING RM 1"</f>
        <v>CLASSROOM BUILDING RM 1</v>
      </c>
      <c r="G241" s="1" t="str">
        <f t="shared" si="77"/>
        <v>801 MONTANA AVENUE</v>
      </c>
      <c r="H241" s="1" t="str">
        <f t="shared" si="73"/>
        <v>SANTA MONICA</v>
      </c>
      <c r="I241" s="1" t="str">
        <f t="shared" si="58"/>
        <v>CA</v>
      </c>
      <c r="J241" s="1" t="str">
        <f t="shared" si="78"/>
        <v>90403</v>
      </c>
      <c r="K241" s="1">
        <v>1992</v>
      </c>
      <c r="L241" s="1">
        <v>960</v>
      </c>
      <c r="M241" s="1">
        <v>231000</v>
      </c>
      <c r="N241" s="1">
        <v>29000</v>
      </c>
      <c r="O241" s="1">
        <f t="shared" si="59"/>
        <v>260000</v>
      </c>
      <c r="P241" s="1">
        <v>0</v>
      </c>
      <c r="Q241" s="11">
        <v>42326</v>
      </c>
    </row>
    <row r="242" spans="1:17" x14ac:dyDescent="0.25">
      <c r="A242" s="8" t="str">
        <f t="shared" si="56"/>
        <v>042</v>
      </c>
      <c r="B242" s="1" t="str">
        <f t="shared" si="57"/>
        <v>SANTA MONICA-MALIBU UNIFIED SCHOOL DISTRICT</v>
      </c>
      <c r="C242" s="1" t="str">
        <f t="shared" si="75"/>
        <v>008</v>
      </c>
      <c r="D242" s="1" t="str">
        <f t="shared" si="76"/>
        <v>ROOSEVELT ELEMENTARY SCHOOL</v>
      </c>
      <c r="E242" s="1" t="str">
        <f>"011"</f>
        <v>011</v>
      </c>
      <c r="F242" s="1" t="str">
        <f>"CLASSROOM BUILDING RM 2"</f>
        <v>CLASSROOM BUILDING RM 2</v>
      </c>
      <c r="G242" s="1" t="str">
        <f t="shared" si="77"/>
        <v>801 MONTANA AVENUE</v>
      </c>
      <c r="H242" s="1" t="str">
        <f t="shared" si="73"/>
        <v>SANTA MONICA</v>
      </c>
      <c r="I242" s="1" t="str">
        <f t="shared" si="58"/>
        <v>CA</v>
      </c>
      <c r="J242" s="1" t="str">
        <f t="shared" si="78"/>
        <v>90403</v>
      </c>
      <c r="K242" s="1">
        <v>1992</v>
      </c>
      <c r="L242" s="1">
        <v>960</v>
      </c>
      <c r="M242" s="1">
        <v>231000</v>
      </c>
      <c r="N242" s="1">
        <v>29000</v>
      </c>
      <c r="O242" s="1">
        <f t="shared" si="59"/>
        <v>260000</v>
      </c>
      <c r="P242" s="1">
        <v>0</v>
      </c>
      <c r="Q242" s="11">
        <v>42326</v>
      </c>
    </row>
    <row r="243" spans="1:17" x14ac:dyDescent="0.25">
      <c r="A243" s="8" t="str">
        <f t="shared" si="56"/>
        <v>042</v>
      </c>
      <c r="B243" s="1" t="str">
        <f t="shared" si="57"/>
        <v>SANTA MONICA-MALIBU UNIFIED SCHOOL DISTRICT</v>
      </c>
      <c r="C243" s="1" t="str">
        <f t="shared" si="75"/>
        <v>008</v>
      </c>
      <c r="D243" s="1" t="str">
        <f t="shared" si="76"/>
        <v>ROOSEVELT ELEMENTARY SCHOOL</v>
      </c>
      <c r="E243" s="1" t="str">
        <f>"015"</f>
        <v>015</v>
      </c>
      <c r="F243" s="1" t="str">
        <f>"RESTROOM BUILDING #1"</f>
        <v>RESTROOM BUILDING #1</v>
      </c>
      <c r="G243" s="1" t="str">
        <f t="shared" si="77"/>
        <v>801 MONTANA AVENUE</v>
      </c>
      <c r="H243" s="1" t="str">
        <f t="shared" si="73"/>
        <v>SANTA MONICA</v>
      </c>
      <c r="I243" s="1" t="str">
        <f t="shared" si="58"/>
        <v>CA</v>
      </c>
      <c r="J243" s="1" t="str">
        <f t="shared" si="78"/>
        <v>90403</v>
      </c>
      <c r="K243" s="1">
        <v>1940</v>
      </c>
      <c r="L243" s="1">
        <v>330</v>
      </c>
      <c r="M243" s="1">
        <v>117000</v>
      </c>
      <c r="N243" s="1">
        <v>2000</v>
      </c>
      <c r="O243" s="1">
        <f t="shared" si="59"/>
        <v>119000</v>
      </c>
      <c r="P243" s="1">
        <v>0</v>
      </c>
      <c r="Q243" s="11">
        <v>42326</v>
      </c>
    </row>
    <row r="244" spans="1:17" x14ac:dyDescent="0.25">
      <c r="A244" s="8" t="str">
        <f t="shared" si="56"/>
        <v>042</v>
      </c>
      <c r="B244" s="1" t="str">
        <f t="shared" si="57"/>
        <v>SANTA MONICA-MALIBU UNIFIED SCHOOL DISTRICT</v>
      </c>
      <c r="C244" s="1" t="str">
        <f t="shared" si="75"/>
        <v>008</v>
      </c>
      <c r="D244" s="1" t="str">
        <f t="shared" si="76"/>
        <v>ROOSEVELT ELEMENTARY SCHOOL</v>
      </c>
      <c r="E244" s="1" t="str">
        <f>"007"</f>
        <v>007</v>
      </c>
      <c r="F244" s="1" t="str">
        <f>"CLASSROOM BUILDING RMS 14-17"</f>
        <v>CLASSROOM BUILDING RMS 14-17</v>
      </c>
      <c r="G244" s="1" t="str">
        <f t="shared" si="77"/>
        <v>801 MONTANA AVENUE</v>
      </c>
      <c r="H244" s="1" t="str">
        <f t="shared" si="73"/>
        <v>SANTA MONICA</v>
      </c>
      <c r="I244" s="1" t="str">
        <f t="shared" si="58"/>
        <v>CA</v>
      </c>
      <c r="J244" s="1" t="str">
        <f t="shared" si="78"/>
        <v>90403</v>
      </c>
      <c r="K244" s="1">
        <v>1940</v>
      </c>
      <c r="L244" s="1">
        <v>4100</v>
      </c>
      <c r="M244" s="1">
        <v>1274000</v>
      </c>
      <c r="N244" s="1">
        <v>124000</v>
      </c>
      <c r="O244" s="1">
        <f t="shared" si="59"/>
        <v>1398000</v>
      </c>
      <c r="P244" s="1">
        <v>0</v>
      </c>
      <c r="Q244" s="11">
        <v>42326</v>
      </c>
    </row>
    <row r="245" spans="1:17" x14ac:dyDescent="0.25">
      <c r="A245" s="8" t="str">
        <f t="shared" si="56"/>
        <v>042</v>
      </c>
      <c r="B245" s="1" t="str">
        <f t="shared" si="57"/>
        <v>SANTA MONICA-MALIBU UNIFIED SCHOOL DISTRICT</v>
      </c>
      <c r="C245" s="1" t="str">
        <f t="shared" si="75"/>
        <v>008</v>
      </c>
      <c r="D245" s="1" t="str">
        <f t="shared" si="76"/>
        <v>ROOSEVELT ELEMENTARY SCHOOL</v>
      </c>
      <c r="E245" s="1" t="str">
        <f>"013"</f>
        <v>013</v>
      </c>
      <c r="F245" s="1" t="str">
        <f>"STORAGE BUILDING #1"</f>
        <v>STORAGE BUILDING #1</v>
      </c>
      <c r="G245" s="1" t="str">
        <f t="shared" si="77"/>
        <v>801 MONTANA AVENUE</v>
      </c>
      <c r="H245" s="1" t="str">
        <f t="shared" si="73"/>
        <v>SANTA MONICA</v>
      </c>
      <c r="I245" s="1" t="str">
        <f t="shared" si="58"/>
        <v>CA</v>
      </c>
      <c r="J245" s="1" t="str">
        <f t="shared" si="78"/>
        <v>90403</v>
      </c>
      <c r="K245" s="1">
        <v>1940</v>
      </c>
      <c r="L245" s="1">
        <v>480</v>
      </c>
      <c r="M245" s="1">
        <v>87000</v>
      </c>
      <c r="N245" s="1">
        <v>20000</v>
      </c>
      <c r="O245" s="1">
        <f t="shared" si="59"/>
        <v>107000</v>
      </c>
      <c r="P245" s="1">
        <v>0</v>
      </c>
      <c r="Q245" s="11">
        <v>42326</v>
      </c>
    </row>
    <row r="246" spans="1:17" x14ac:dyDescent="0.25">
      <c r="A246" s="8" t="str">
        <f t="shared" si="56"/>
        <v>042</v>
      </c>
      <c r="B246" s="1" t="str">
        <f t="shared" si="57"/>
        <v>SANTA MONICA-MALIBU UNIFIED SCHOOL DISTRICT</v>
      </c>
      <c r="C246" s="1" t="str">
        <f t="shared" si="75"/>
        <v>008</v>
      </c>
      <c r="D246" s="1" t="str">
        <f t="shared" si="76"/>
        <v>ROOSEVELT ELEMENTARY SCHOOL</v>
      </c>
      <c r="E246" s="1" t="str">
        <f>"016"</f>
        <v>016</v>
      </c>
      <c r="F246" s="1" t="str">
        <f>"RESTROOM BUILDING #2"</f>
        <v>RESTROOM BUILDING #2</v>
      </c>
      <c r="G246" s="1" t="str">
        <f t="shared" si="77"/>
        <v>801 MONTANA AVENUE</v>
      </c>
      <c r="H246" s="1" t="str">
        <f t="shared" si="73"/>
        <v>SANTA MONICA</v>
      </c>
      <c r="I246" s="1" t="str">
        <f t="shared" si="58"/>
        <v>CA</v>
      </c>
      <c r="J246" s="1" t="str">
        <f t="shared" si="78"/>
        <v>90403</v>
      </c>
      <c r="K246" s="1">
        <v>1940</v>
      </c>
      <c r="L246" s="1">
        <v>480</v>
      </c>
      <c r="M246" s="1">
        <v>146000</v>
      </c>
      <c r="N246" s="1">
        <v>2000</v>
      </c>
      <c r="O246" s="1">
        <f t="shared" si="59"/>
        <v>148000</v>
      </c>
      <c r="P246" s="1">
        <v>0</v>
      </c>
      <c r="Q246" s="11">
        <v>42326</v>
      </c>
    </row>
    <row r="247" spans="1:17" x14ac:dyDescent="0.25">
      <c r="A247" s="8" t="str">
        <f t="shared" si="56"/>
        <v>042</v>
      </c>
      <c r="B247" s="1" t="str">
        <f t="shared" si="57"/>
        <v>SANTA MONICA-MALIBU UNIFIED SCHOOL DISTRICT</v>
      </c>
      <c r="C247" s="1" t="str">
        <f t="shared" si="75"/>
        <v>008</v>
      </c>
      <c r="D247" s="1" t="str">
        <f t="shared" si="76"/>
        <v>ROOSEVELT ELEMENTARY SCHOOL</v>
      </c>
      <c r="E247" s="1" t="str">
        <f>"008"</f>
        <v>008</v>
      </c>
      <c r="F247" s="1" t="str">
        <f>"CLASSROOM BUILDING RMS 18-21"</f>
        <v>CLASSROOM BUILDING RMS 18-21</v>
      </c>
      <c r="G247" s="1" t="str">
        <f t="shared" si="77"/>
        <v>801 MONTANA AVENUE</v>
      </c>
      <c r="H247" s="1" t="str">
        <f t="shared" si="73"/>
        <v>SANTA MONICA</v>
      </c>
      <c r="I247" s="1" t="str">
        <f t="shared" si="58"/>
        <v>CA</v>
      </c>
      <c r="J247" s="1" t="str">
        <f t="shared" si="78"/>
        <v>90403</v>
      </c>
      <c r="K247" s="1">
        <v>1940</v>
      </c>
      <c r="L247" s="1">
        <v>4100</v>
      </c>
      <c r="M247" s="1">
        <v>1274000</v>
      </c>
      <c r="N247" s="1">
        <v>124000</v>
      </c>
      <c r="O247" s="1">
        <f t="shared" si="59"/>
        <v>1398000</v>
      </c>
      <c r="P247" s="1">
        <v>0</v>
      </c>
      <c r="Q247" s="11">
        <v>42326</v>
      </c>
    </row>
    <row r="248" spans="1:17" x14ac:dyDescent="0.25">
      <c r="A248" s="8" t="str">
        <f t="shared" si="56"/>
        <v>042</v>
      </c>
      <c r="B248" s="1" t="str">
        <f t="shared" si="57"/>
        <v>SANTA MONICA-MALIBU UNIFIED SCHOOL DISTRICT</v>
      </c>
      <c r="C248" s="1" t="str">
        <f t="shared" si="75"/>
        <v>008</v>
      </c>
      <c r="D248" s="1" t="str">
        <f t="shared" si="76"/>
        <v>ROOSEVELT ELEMENTARY SCHOOL</v>
      </c>
      <c r="E248" s="1" t="str">
        <f>"017"</f>
        <v>017</v>
      </c>
      <c r="F248" s="1" t="str">
        <f>"RESTROOM BUILDING #3"</f>
        <v>RESTROOM BUILDING #3</v>
      </c>
      <c r="G248" s="1" t="str">
        <f t="shared" si="77"/>
        <v>801 MONTANA AVENUE</v>
      </c>
      <c r="H248" s="1" t="str">
        <f t="shared" si="73"/>
        <v>SANTA MONICA</v>
      </c>
      <c r="I248" s="1" t="str">
        <f t="shared" si="58"/>
        <v>CA</v>
      </c>
      <c r="J248" s="1" t="str">
        <f t="shared" si="78"/>
        <v>90403</v>
      </c>
      <c r="K248" s="1">
        <v>1940</v>
      </c>
      <c r="L248" s="1">
        <v>480</v>
      </c>
      <c r="M248" s="1">
        <v>146000</v>
      </c>
      <c r="N248" s="1">
        <v>2000</v>
      </c>
      <c r="O248" s="1">
        <f t="shared" si="59"/>
        <v>148000</v>
      </c>
      <c r="P248" s="1">
        <v>0</v>
      </c>
      <c r="Q248" s="11">
        <v>42326</v>
      </c>
    </row>
    <row r="249" spans="1:17" x14ac:dyDescent="0.25">
      <c r="A249" s="8" t="str">
        <f t="shared" si="56"/>
        <v>042</v>
      </c>
      <c r="B249" s="1" t="str">
        <f t="shared" si="57"/>
        <v>SANTA MONICA-MALIBU UNIFIED SCHOOL DISTRICT</v>
      </c>
      <c r="C249" s="1" t="str">
        <f t="shared" si="75"/>
        <v>008</v>
      </c>
      <c r="D249" s="1" t="str">
        <f t="shared" si="76"/>
        <v>ROOSEVELT ELEMENTARY SCHOOL</v>
      </c>
      <c r="E249" s="1" t="str">
        <f>"014"</f>
        <v>014</v>
      </c>
      <c r="F249" s="1" t="str">
        <f>"STORAGE/RESTROOM BUILDING #2"</f>
        <v>STORAGE/RESTROOM BUILDING #2</v>
      </c>
      <c r="G249" s="1" t="str">
        <f t="shared" si="77"/>
        <v>801 MONTANA AVENUE</v>
      </c>
      <c r="H249" s="1" t="str">
        <f t="shared" si="73"/>
        <v>SANTA MONICA</v>
      </c>
      <c r="I249" s="1" t="str">
        <f t="shared" si="58"/>
        <v>CA</v>
      </c>
      <c r="J249" s="1" t="str">
        <f t="shared" si="78"/>
        <v>90403</v>
      </c>
      <c r="K249" s="1">
        <v>1940</v>
      </c>
      <c r="L249" s="1">
        <v>480</v>
      </c>
      <c r="M249" s="1">
        <v>119000</v>
      </c>
      <c r="N249" s="1">
        <v>20000</v>
      </c>
      <c r="O249" s="1">
        <f t="shared" si="59"/>
        <v>139000</v>
      </c>
      <c r="P249" s="1">
        <v>0</v>
      </c>
      <c r="Q249" s="11">
        <v>42326</v>
      </c>
    </row>
    <row r="250" spans="1:17" x14ac:dyDescent="0.25">
      <c r="A250" s="8" t="str">
        <f t="shared" si="56"/>
        <v>042</v>
      </c>
      <c r="B250" s="1" t="str">
        <f t="shared" si="57"/>
        <v>SANTA MONICA-MALIBU UNIFIED SCHOOL DISTRICT</v>
      </c>
      <c r="C250" s="1" t="str">
        <f t="shared" si="75"/>
        <v>008</v>
      </c>
      <c r="D250" s="1" t="str">
        <f t="shared" si="76"/>
        <v>ROOSEVELT ELEMENTARY SCHOOL</v>
      </c>
      <c r="E250" s="1" t="str">
        <f>"002"</f>
        <v>002</v>
      </c>
      <c r="F250" s="1" t="str">
        <f>"CAFETERIA BUILDING"</f>
        <v>CAFETERIA BUILDING</v>
      </c>
      <c r="G250" s="1" t="str">
        <f t="shared" si="77"/>
        <v>801 MONTANA AVENUE</v>
      </c>
      <c r="H250" s="1" t="str">
        <f t="shared" si="73"/>
        <v>SANTA MONICA</v>
      </c>
      <c r="I250" s="1" t="str">
        <f t="shared" si="58"/>
        <v>CA</v>
      </c>
      <c r="J250" s="1" t="str">
        <f t="shared" si="78"/>
        <v>90403</v>
      </c>
      <c r="K250" s="1">
        <v>1940</v>
      </c>
      <c r="L250" s="1">
        <v>4647</v>
      </c>
      <c r="M250" s="1">
        <v>1574000</v>
      </c>
      <c r="N250" s="1">
        <v>146000</v>
      </c>
      <c r="O250" s="1">
        <f t="shared" si="59"/>
        <v>1720000</v>
      </c>
      <c r="P250" s="1">
        <v>0</v>
      </c>
      <c r="Q250" s="11">
        <v>42326</v>
      </c>
    </row>
    <row r="251" spans="1:17" x14ac:dyDescent="0.25">
      <c r="A251" s="8" t="str">
        <f t="shared" si="56"/>
        <v>042</v>
      </c>
      <c r="B251" s="1" t="str">
        <f t="shared" si="57"/>
        <v>SANTA MONICA-MALIBU UNIFIED SCHOOL DISTRICT</v>
      </c>
      <c r="C251" s="1" t="str">
        <f t="shared" si="75"/>
        <v>008</v>
      </c>
      <c r="D251" s="1" t="str">
        <f t="shared" si="76"/>
        <v>ROOSEVELT ELEMENTARY SCHOOL</v>
      </c>
      <c r="E251" s="1" t="str">
        <f>"003"</f>
        <v>003</v>
      </c>
      <c r="F251" s="1" t="str">
        <f>"AUDITORIUM BUILDING"</f>
        <v>AUDITORIUM BUILDING</v>
      </c>
      <c r="G251" s="1" t="str">
        <f t="shared" si="77"/>
        <v>801 MONTANA AVENUE</v>
      </c>
      <c r="H251" s="1" t="str">
        <f t="shared" si="73"/>
        <v>SANTA MONICA</v>
      </c>
      <c r="I251" s="1" t="str">
        <f t="shared" si="58"/>
        <v>CA</v>
      </c>
      <c r="J251" s="1" t="str">
        <f t="shared" si="78"/>
        <v>90403</v>
      </c>
      <c r="K251" s="1">
        <v>1940</v>
      </c>
      <c r="L251" s="1">
        <v>5163</v>
      </c>
      <c r="M251" s="1">
        <v>1559000</v>
      </c>
      <c r="N251" s="1">
        <v>75000</v>
      </c>
      <c r="O251" s="1">
        <f t="shared" si="59"/>
        <v>1634000</v>
      </c>
      <c r="P251" s="1">
        <v>0</v>
      </c>
      <c r="Q251" s="11">
        <v>42326</v>
      </c>
    </row>
    <row r="252" spans="1:17" x14ac:dyDescent="0.25">
      <c r="A252" s="8" t="str">
        <f t="shared" si="56"/>
        <v>042</v>
      </c>
      <c r="B252" s="1" t="str">
        <f t="shared" si="57"/>
        <v>SANTA MONICA-MALIBU UNIFIED SCHOOL DISTRICT</v>
      </c>
      <c r="C252" s="1" t="str">
        <f t="shared" si="75"/>
        <v>008</v>
      </c>
      <c r="D252" s="1" t="str">
        <f t="shared" si="76"/>
        <v>ROOSEVELT ELEMENTARY SCHOOL</v>
      </c>
      <c r="E252" s="1" t="str">
        <f>"009"</f>
        <v>009</v>
      </c>
      <c r="F252" s="1" t="str">
        <f>"LIBRARY/CLASSROOM RMS 27-37"</f>
        <v>LIBRARY/CLASSROOM RMS 27-37</v>
      </c>
      <c r="G252" s="1" t="str">
        <f t="shared" si="77"/>
        <v>801 MONTANA AVENUE</v>
      </c>
      <c r="H252" s="1" t="str">
        <f t="shared" si="73"/>
        <v>SANTA MONICA</v>
      </c>
      <c r="I252" s="1" t="str">
        <f t="shared" si="58"/>
        <v>CA</v>
      </c>
      <c r="J252" s="1" t="str">
        <f t="shared" si="78"/>
        <v>90403</v>
      </c>
      <c r="K252" s="1">
        <v>1940</v>
      </c>
      <c r="L252" s="1">
        <v>6600</v>
      </c>
      <c r="M252" s="1">
        <v>2234000</v>
      </c>
      <c r="N252" s="1">
        <v>200000</v>
      </c>
      <c r="O252" s="1">
        <f t="shared" si="59"/>
        <v>2434000</v>
      </c>
      <c r="P252" s="1">
        <v>0</v>
      </c>
      <c r="Q252" s="11">
        <v>42326</v>
      </c>
    </row>
    <row r="253" spans="1:17" x14ac:dyDescent="0.25">
      <c r="A253" s="8" t="str">
        <f t="shared" si="56"/>
        <v>042</v>
      </c>
      <c r="B253" s="1" t="str">
        <f t="shared" si="57"/>
        <v>SANTA MONICA-MALIBU UNIFIED SCHOOL DISTRICT</v>
      </c>
      <c r="C253" s="1" t="str">
        <f t="shared" si="75"/>
        <v>008</v>
      </c>
      <c r="D253" s="1" t="str">
        <f t="shared" si="76"/>
        <v>ROOSEVELT ELEMENTARY SCHOOL</v>
      </c>
      <c r="E253" s="1" t="str">
        <f>"098"</f>
        <v>098</v>
      </c>
      <c r="F253" s="1" t="str">
        <f>"COVERED EATING AREA A"</f>
        <v>COVERED EATING AREA A</v>
      </c>
      <c r="G253" s="1" t="str">
        <f t="shared" si="77"/>
        <v>801 MONTANA AVENUE</v>
      </c>
      <c r="H253" s="1" t="str">
        <f t="shared" si="73"/>
        <v>SANTA MONICA</v>
      </c>
      <c r="I253" s="1" t="str">
        <f t="shared" si="58"/>
        <v>CA</v>
      </c>
      <c r="J253" s="1" t="str">
        <f t="shared" si="78"/>
        <v>90403</v>
      </c>
      <c r="K253" s="1">
        <v>1992</v>
      </c>
      <c r="L253" s="1">
        <v>750</v>
      </c>
      <c r="M253" s="1">
        <v>15000</v>
      </c>
      <c r="N253" s="1">
        <v>0</v>
      </c>
      <c r="O253" s="1">
        <f t="shared" si="59"/>
        <v>15000</v>
      </c>
      <c r="P253" s="1">
        <v>0</v>
      </c>
      <c r="Q253" s="11">
        <v>42326</v>
      </c>
    </row>
    <row r="254" spans="1:17" x14ac:dyDescent="0.25">
      <c r="A254" s="8" t="str">
        <f t="shared" si="56"/>
        <v>042</v>
      </c>
      <c r="B254" s="1" t="str">
        <f t="shared" si="57"/>
        <v>SANTA MONICA-MALIBU UNIFIED SCHOOL DISTRICT</v>
      </c>
      <c r="C254" s="1" t="str">
        <f t="shared" si="75"/>
        <v>008</v>
      </c>
      <c r="D254" s="1" t="str">
        <f t="shared" si="76"/>
        <v>ROOSEVELT ELEMENTARY SCHOOL</v>
      </c>
      <c r="E254" s="1" t="str">
        <f>"098B"</f>
        <v>098B</v>
      </c>
      <c r="F254" s="1" t="str">
        <f>"COVERED EATING AREA B"</f>
        <v>COVERED EATING AREA B</v>
      </c>
      <c r="G254" s="1" t="str">
        <f t="shared" si="77"/>
        <v>801 MONTANA AVENUE</v>
      </c>
      <c r="H254" s="1" t="str">
        <f t="shared" si="73"/>
        <v>SANTA MONICA</v>
      </c>
      <c r="I254" s="1" t="str">
        <f t="shared" si="58"/>
        <v>CA</v>
      </c>
      <c r="J254" s="1" t="str">
        <f t="shared" si="78"/>
        <v>90403</v>
      </c>
      <c r="K254" s="1">
        <v>1992</v>
      </c>
      <c r="L254" s="1">
        <v>240</v>
      </c>
      <c r="M254" s="1">
        <v>5000</v>
      </c>
      <c r="N254" s="1">
        <v>0</v>
      </c>
      <c r="O254" s="1">
        <f t="shared" si="59"/>
        <v>5000</v>
      </c>
      <c r="P254" s="1">
        <v>0</v>
      </c>
      <c r="Q254" s="11">
        <v>42326</v>
      </c>
    </row>
    <row r="255" spans="1:17" x14ac:dyDescent="0.25">
      <c r="A255" s="8" t="str">
        <f t="shared" si="56"/>
        <v>042</v>
      </c>
      <c r="B255" s="1" t="str">
        <f t="shared" si="57"/>
        <v>SANTA MONICA-MALIBU UNIFIED SCHOOL DISTRICT</v>
      </c>
      <c r="C255" s="1" t="str">
        <f t="shared" si="75"/>
        <v>008</v>
      </c>
      <c r="D255" s="1" t="str">
        <f t="shared" si="76"/>
        <v>ROOSEVELT ELEMENTARY SCHOOL</v>
      </c>
      <c r="E255" s="1" t="str">
        <f>"901"</f>
        <v>901</v>
      </c>
      <c r="F255" s="1" t="str">
        <f>"PORTABLE CLASSROOM BUILDING RM 7"</f>
        <v>PORTABLE CLASSROOM BUILDING RM 7</v>
      </c>
      <c r="G255" s="1" t="str">
        <f t="shared" si="77"/>
        <v>801 MONTANA AVENUE</v>
      </c>
      <c r="H255" s="1" t="str">
        <f t="shared" si="73"/>
        <v>SANTA MONICA</v>
      </c>
      <c r="I255" s="1" t="str">
        <f t="shared" si="58"/>
        <v>CA</v>
      </c>
      <c r="J255" s="1" t="str">
        <f t="shared" si="78"/>
        <v>90403</v>
      </c>
      <c r="K255" s="1">
        <v>1992</v>
      </c>
      <c r="L255" s="1">
        <v>960</v>
      </c>
      <c r="M255" s="1">
        <v>96000</v>
      </c>
      <c r="N255" s="1">
        <v>21000</v>
      </c>
      <c r="O255" s="1">
        <f t="shared" si="59"/>
        <v>117000</v>
      </c>
      <c r="P255" s="1">
        <v>0</v>
      </c>
      <c r="Q255" s="11">
        <v>42326</v>
      </c>
    </row>
    <row r="256" spans="1:17" x14ac:dyDescent="0.25">
      <c r="A256" s="8" t="str">
        <f t="shared" si="56"/>
        <v>042</v>
      </c>
      <c r="B256" s="1" t="str">
        <f t="shared" si="57"/>
        <v>SANTA MONICA-MALIBU UNIFIED SCHOOL DISTRICT</v>
      </c>
      <c r="C256" s="1" t="str">
        <f t="shared" si="75"/>
        <v>008</v>
      </c>
      <c r="D256" s="1" t="str">
        <f t="shared" si="76"/>
        <v>ROOSEVELT ELEMENTARY SCHOOL</v>
      </c>
      <c r="E256" s="1" t="str">
        <f>"902"</f>
        <v>902</v>
      </c>
      <c r="F256" s="1" t="str">
        <f>"PORTABLE CLASSROOM BUILDING RM 22"</f>
        <v>PORTABLE CLASSROOM BUILDING RM 22</v>
      </c>
      <c r="G256" s="1" t="str">
        <f t="shared" si="77"/>
        <v>801 MONTANA AVENUE</v>
      </c>
      <c r="H256" s="1" t="str">
        <f t="shared" si="73"/>
        <v>SANTA MONICA</v>
      </c>
      <c r="I256" s="1" t="str">
        <f t="shared" si="58"/>
        <v>CA</v>
      </c>
      <c r="J256" s="1" t="str">
        <f t="shared" si="78"/>
        <v>90403</v>
      </c>
      <c r="K256" s="1">
        <v>1992</v>
      </c>
      <c r="L256" s="1">
        <v>960</v>
      </c>
      <c r="M256" s="1">
        <v>96000</v>
      </c>
      <c r="N256" s="1">
        <v>21000</v>
      </c>
      <c r="O256" s="1">
        <f t="shared" si="59"/>
        <v>117000</v>
      </c>
      <c r="P256" s="1">
        <v>0</v>
      </c>
      <c r="Q256" s="11">
        <v>42326</v>
      </c>
    </row>
    <row r="257" spans="1:17" x14ac:dyDescent="0.25">
      <c r="A257" s="8" t="str">
        <f t="shared" si="56"/>
        <v>042</v>
      </c>
      <c r="B257" s="1" t="str">
        <f t="shared" si="57"/>
        <v>SANTA MONICA-MALIBU UNIFIED SCHOOL DISTRICT</v>
      </c>
      <c r="C257" s="1" t="str">
        <f t="shared" si="75"/>
        <v>008</v>
      </c>
      <c r="D257" s="1" t="str">
        <f t="shared" si="76"/>
        <v>ROOSEVELT ELEMENTARY SCHOOL</v>
      </c>
      <c r="E257" s="1" t="str">
        <f>"903"</f>
        <v>903</v>
      </c>
      <c r="F257" s="1" t="str">
        <f>"PORTABLE CLASSROOM BUILDING RM 23"</f>
        <v>PORTABLE CLASSROOM BUILDING RM 23</v>
      </c>
      <c r="G257" s="1" t="str">
        <f t="shared" si="77"/>
        <v>801 MONTANA AVENUE</v>
      </c>
      <c r="H257" s="1" t="str">
        <f t="shared" si="73"/>
        <v>SANTA MONICA</v>
      </c>
      <c r="I257" s="1" t="str">
        <f t="shared" si="58"/>
        <v>CA</v>
      </c>
      <c r="J257" s="1" t="str">
        <f t="shared" si="78"/>
        <v>90403</v>
      </c>
      <c r="K257" s="1">
        <v>1992</v>
      </c>
      <c r="L257" s="1">
        <v>960</v>
      </c>
      <c r="M257" s="1">
        <v>96000</v>
      </c>
      <c r="N257" s="1">
        <v>21000</v>
      </c>
      <c r="O257" s="1">
        <f t="shared" si="59"/>
        <v>117000</v>
      </c>
      <c r="P257" s="1">
        <v>0</v>
      </c>
      <c r="Q257" s="11">
        <v>42326</v>
      </c>
    </row>
    <row r="258" spans="1:17" x14ac:dyDescent="0.25">
      <c r="A258" s="8" t="str">
        <f t="shared" ref="A258:A266" si="79">"042"</f>
        <v>042</v>
      </c>
      <c r="B258" s="1" t="str">
        <f t="shared" ref="B258:B266" si="80">"SANTA MONICA-MALIBU UNIFIED SCHOOL DISTRICT"</f>
        <v>SANTA MONICA-MALIBU UNIFIED SCHOOL DISTRICT</v>
      </c>
      <c r="C258" s="1" t="str">
        <f t="shared" si="75"/>
        <v>008</v>
      </c>
      <c r="D258" s="1" t="str">
        <f t="shared" si="76"/>
        <v>ROOSEVELT ELEMENTARY SCHOOL</v>
      </c>
      <c r="E258" s="1" t="str">
        <f>"904"</f>
        <v>904</v>
      </c>
      <c r="F258" s="1" t="str">
        <f>"PORTABLE CLASSROOM BUILDING RM 24"</f>
        <v>PORTABLE CLASSROOM BUILDING RM 24</v>
      </c>
      <c r="G258" s="1" t="str">
        <f t="shared" si="77"/>
        <v>801 MONTANA AVENUE</v>
      </c>
      <c r="H258" s="1" t="str">
        <f t="shared" si="73"/>
        <v>SANTA MONICA</v>
      </c>
      <c r="I258" s="1" t="str">
        <f t="shared" ref="I258:I266" si="81">"CA"</f>
        <v>CA</v>
      </c>
      <c r="J258" s="1" t="str">
        <f t="shared" si="78"/>
        <v>90403</v>
      </c>
      <c r="K258" s="1">
        <v>1992</v>
      </c>
      <c r="L258" s="1">
        <v>960</v>
      </c>
      <c r="M258" s="1">
        <v>96000</v>
      </c>
      <c r="N258" s="1">
        <v>21000</v>
      </c>
      <c r="O258" s="1">
        <f t="shared" ref="O258:O266" si="82">M258+N258</f>
        <v>117000</v>
      </c>
      <c r="P258" s="1">
        <v>0</v>
      </c>
      <c r="Q258" s="11">
        <v>42326</v>
      </c>
    </row>
    <row r="259" spans="1:17" x14ac:dyDescent="0.25">
      <c r="A259" s="8" t="str">
        <f t="shared" si="79"/>
        <v>042</v>
      </c>
      <c r="B259" s="1" t="str">
        <f t="shared" si="80"/>
        <v>SANTA MONICA-MALIBU UNIFIED SCHOOL DISTRICT</v>
      </c>
      <c r="C259" s="1" t="str">
        <f t="shared" si="75"/>
        <v>008</v>
      </c>
      <c r="D259" s="1" t="str">
        <f t="shared" si="76"/>
        <v>ROOSEVELT ELEMENTARY SCHOOL</v>
      </c>
      <c r="E259" s="1" t="str">
        <f>"905"</f>
        <v>905</v>
      </c>
      <c r="F259" s="1" t="str">
        <f>"PORTABLE CLASSROOM BUILDING RM 25"</f>
        <v>PORTABLE CLASSROOM BUILDING RM 25</v>
      </c>
      <c r="G259" s="1" t="str">
        <f t="shared" si="77"/>
        <v>801 MONTANA AVENUE</v>
      </c>
      <c r="H259" s="1" t="str">
        <f t="shared" si="73"/>
        <v>SANTA MONICA</v>
      </c>
      <c r="I259" s="1" t="str">
        <f t="shared" si="81"/>
        <v>CA</v>
      </c>
      <c r="J259" s="1" t="str">
        <f t="shared" si="78"/>
        <v>90403</v>
      </c>
      <c r="K259" s="1">
        <v>1992</v>
      </c>
      <c r="L259" s="1">
        <v>960</v>
      </c>
      <c r="M259" s="1">
        <v>96000</v>
      </c>
      <c r="N259" s="1">
        <v>21000</v>
      </c>
      <c r="O259" s="1">
        <f t="shared" si="82"/>
        <v>117000</v>
      </c>
      <c r="P259" s="1">
        <v>0</v>
      </c>
      <c r="Q259" s="11">
        <v>42326</v>
      </c>
    </row>
    <row r="260" spans="1:17" x14ac:dyDescent="0.25">
      <c r="A260" s="8" t="str">
        <f t="shared" si="79"/>
        <v>042</v>
      </c>
      <c r="B260" s="1" t="str">
        <f t="shared" si="80"/>
        <v>SANTA MONICA-MALIBU UNIFIED SCHOOL DISTRICT</v>
      </c>
      <c r="C260" s="1" t="str">
        <f t="shared" si="75"/>
        <v>008</v>
      </c>
      <c r="D260" s="1" t="str">
        <f t="shared" si="76"/>
        <v>ROOSEVELT ELEMENTARY SCHOOL</v>
      </c>
      <c r="E260" s="1" t="str">
        <f>"906"</f>
        <v>906</v>
      </c>
      <c r="F260" s="1" t="str">
        <f>"PORTABLE CLASSROOM BUILDING RM 26"</f>
        <v>PORTABLE CLASSROOM BUILDING RM 26</v>
      </c>
      <c r="G260" s="1" t="str">
        <f t="shared" si="77"/>
        <v>801 MONTANA AVENUE</v>
      </c>
      <c r="H260" s="1" t="str">
        <f t="shared" si="73"/>
        <v>SANTA MONICA</v>
      </c>
      <c r="I260" s="1" t="str">
        <f t="shared" si="81"/>
        <v>CA</v>
      </c>
      <c r="J260" s="1" t="str">
        <f t="shared" si="78"/>
        <v>90403</v>
      </c>
      <c r="K260" s="1">
        <v>1992</v>
      </c>
      <c r="L260" s="1">
        <v>960</v>
      </c>
      <c r="M260" s="1">
        <v>96000</v>
      </c>
      <c r="N260" s="1">
        <v>21000</v>
      </c>
      <c r="O260" s="1">
        <f t="shared" si="82"/>
        <v>117000</v>
      </c>
      <c r="P260" s="1">
        <v>0</v>
      </c>
      <c r="Q260" s="11">
        <v>42326</v>
      </c>
    </row>
    <row r="261" spans="1:17" x14ac:dyDescent="0.25">
      <c r="A261" s="8" t="str">
        <f t="shared" si="79"/>
        <v>042</v>
      </c>
      <c r="B261" s="1" t="str">
        <f t="shared" si="80"/>
        <v>SANTA MONICA-MALIBU UNIFIED SCHOOL DISTRICT</v>
      </c>
      <c r="C261" s="1" t="str">
        <f t="shared" si="75"/>
        <v>008</v>
      </c>
      <c r="D261" s="1" t="str">
        <f t="shared" si="76"/>
        <v>ROOSEVELT ELEMENTARY SCHOOL</v>
      </c>
      <c r="E261" s="1" t="str">
        <f>"907"</f>
        <v>907</v>
      </c>
      <c r="F261" s="1" t="str">
        <f>"PORTABLE CLASSROOM BUILDING RM 38"</f>
        <v>PORTABLE CLASSROOM BUILDING RM 38</v>
      </c>
      <c r="G261" s="1" t="str">
        <f t="shared" si="77"/>
        <v>801 MONTANA AVENUE</v>
      </c>
      <c r="H261" s="1" t="str">
        <f t="shared" si="73"/>
        <v>SANTA MONICA</v>
      </c>
      <c r="I261" s="1" t="str">
        <f t="shared" si="81"/>
        <v>CA</v>
      </c>
      <c r="J261" s="1" t="str">
        <f t="shared" si="78"/>
        <v>90403</v>
      </c>
      <c r="K261" s="1">
        <v>1992</v>
      </c>
      <c r="L261" s="1">
        <v>960</v>
      </c>
      <c r="M261" s="1">
        <v>96000</v>
      </c>
      <c r="N261" s="1">
        <v>21000</v>
      </c>
      <c r="O261" s="1">
        <f t="shared" si="82"/>
        <v>117000</v>
      </c>
      <c r="P261" s="1">
        <v>0</v>
      </c>
      <c r="Q261" s="11">
        <v>42326</v>
      </c>
    </row>
    <row r="262" spans="1:17" x14ac:dyDescent="0.25">
      <c r="A262" s="8" t="str">
        <f t="shared" si="79"/>
        <v>042</v>
      </c>
      <c r="B262" s="1" t="str">
        <f t="shared" si="80"/>
        <v>SANTA MONICA-MALIBU UNIFIED SCHOOL DISTRICT</v>
      </c>
      <c r="C262" s="1" t="str">
        <f t="shared" si="75"/>
        <v>008</v>
      </c>
      <c r="D262" s="1" t="str">
        <f t="shared" si="76"/>
        <v>ROOSEVELT ELEMENTARY SCHOOL</v>
      </c>
      <c r="E262" s="1" t="str">
        <f>"908"</f>
        <v>908</v>
      </c>
      <c r="F262" s="1" t="str">
        <f>"PORTABLE CLASSROOM BUILDING RM 39"</f>
        <v>PORTABLE CLASSROOM BUILDING RM 39</v>
      </c>
      <c r="G262" s="1" t="str">
        <f t="shared" si="77"/>
        <v>801 MONTANA AVENUE</v>
      </c>
      <c r="H262" s="1" t="str">
        <f t="shared" si="73"/>
        <v>SANTA MONICA</v>
      </c>
      <c r="I262" s="1" t="str">
        <f t="shared" si="81"/>
        <v>CA</v>
      </c>
      <c r="J262" s="1" t="str">
        <f t="shared" si="78"/>
        <v>90403</v>
      </c>
      <c r="K262" s="1">
        <v>1992</v>
      </c>
      <c r="L262" s="1">
        <v>960</v>
      </c>
      <c r="M262" s="1">
        <v>96000</v>
      </c>
      <c r="N262" s="1">
        <v>21000</v>
      </c>
      <c r="O262" s="1">
        <f t="shared" si="82"/>
        <v>117000</v>
      </c>
      <c r="P262" s="1">
        <v>0</v>
      </c>
      <c r="Q262" s="11">
        <v>42326</v>
      </c>
    </row>
    <row r="263" spans="1:17" x14ac:dyDescent="0.25">
      <c r="A263" s="8" t="str">
        <f t="shared" si="79"/>
        <v>042</v>
      </c>
      <c r="B263" s="1" t="str">
        <f t="shared" si="80"/>
        <v>SANTA MONICA-MALIBU UNIFIED SCHOOL DISTRICT</v>
      </c>
      <c r="C263" s="1" t="str">
        <f t="shared" si="75"/>
        <v>008</v>
      </c>
      <c r="D263" s="1" t="str">
        <f t="shared" si="76"/>
        <v>ROOSEVELT ELEMENTARY SCHOOL</v>
      </c>
      <c r="E263" s="1" t="str">
        <f>"909"</f>
        <v>909</v>
      </c>
      <c r="F263" s="1" t="str">
        <f>"PORTABLE CLASSROOM BUILDING RM 40"</f>
        <v>PORTABLE CLASSROOM BUILDING RM 40</v>
      </c>
      <c r="G263" s="1" t="str">
        <f t="shared" si="77"/>
        <v>801 MONTANA AVENUE</v>
      </c>
      <c r="H263" s="1" t="str">
        <f t="shared" si="73"/>
        <v>SANTA MONICA</v>
      </c>
      <c r="I263" s="1" t="str">
        <f t="shared" si="81"/>
        <v>CA</v>
      </c>
      <c r="J263" s="1" t="str">
        <f t="shared" si="78"/>
        <v>90403</v>
      </c>
      <c r="K263" s="1">
        <v>1992</v>
      </c>
      <c r="L263" s="1">
        <v>960</v>
      </c>
      <c r="M263" s="1">
        <v>96000</v>
      </c>
      <c r="N263" s="1">
        <v>21000</v>
      </c>
      <c r="O263" s="1">
        <f t="shared" si="82"/>
        <v>117000</v>
      </c>
      <c r="P263" s="1">
        <v>0</v>
      </c>
      <c r="Q263" s="11">
        <v>42326</v>
      </c>
    </row>
    <row r="264" spans="1:17" x14ac:dyDescent="0.25">
      <c r="A264" s="8" t="str">
        <f t="shared" si="79"/>
        <v>042</v>
      </c>
      <c r="B264" s="1" t="str">
        <f t="shared" si="80"/>
        <v>SANTA MONICA-MALIBU UNIFIED SCHOOL DISTRICT</v>
      </c>
      <c r="C264" s="1" t="str">
        <f t="shared" si="75"/>
        <v>008</v>
      </c>
      <c r="D264" s="1" t="str">
        <f t="shared" si="76"/>
        <v>ROOSEVELT ELEMENTARY SCHOOL</v>
      </c>
      <c r="E264" s="1" t="str">
        <f>"910"</f>
        <v>910</v>
      </c>
      <c r="F264" s="1" t="str">
        <f>"PORTABLE CLASSROOM BUILDING RM 41"</f>
        <v>PORTABLE CLASSROOM BUILDING RM 41</v>
      </c>
      <c r="G264" s="1" t="str">
        <f t="shared" si="77"/>
        <v>801 MONTANA AVENUE</v>
      </c>
      <c r="H264" s="1" t="str">
        <f t="shared" si="73"/>
        <v>SANTA MONICA</v>
      </c>
      <c r="I264" s="1" t="str">
        <f t="shared" si="81"/>
        <v>CA</v>
      </c>
      <c r="J264" s="1" t="str">
        <f t="shared" si="78"/>
        <v>90403</v>
      </c>
      <c r="K264" s="1">
        <v>1992</v>
      </c>
      <c r="L264" s="1">
        <v>960</v>
      </c>
      <c r="M264" s="1">
        <v>96000</v>
      </c>
      <c r="N264" s="1">
        <v>21000</v>
      </c>
      <c r="O264" s="1">
        <f t="shared" si="82"/>
        <v>117000</v>
      </c>
      <c r="P264" s="1">
        <v>0</v>
      </c>
      <c r="Q264" s="11">
        <v>42326</v>
      </c>
    </row>
    <row r="265" spans="1:17" s="4" customFormat="1" x14ac:dyDescent="0.25">
      <c r="A265" s="8" t="str">
        <f t="shared" si="79"/>
        <v>042</v>
      </c>
      <c r="B265" s="1" t="str">
        <f t="shared" si="80"/>
        <v>SANTA MONICA-MALIBU UNIFIED SCHOOL DISTRICT</v>
      </c>
      <c r="C265" s="1" t="str">
        <f t="shared" si="75"/>
        <v>008</v>
      </c>
      <c r="D265" s="1" t="str">
        <f t="shared" si="76"/>
        <v>ROOSEVELT ELEMENTARY SCHOOL</v>
      </c>
      <c r="E265" s="1" t="str">
        <f>"012"</f>
        <v>012</v>
      </c>
      <c r="F265" s="1" t="str">
        <f>"TEACHERS WORKROOM BUILDING"</f>
        <v>TEACHERS WORKROOM BUILDING</v>
      </c>
      <c r="G265" s="1" t="str">
        <f t="shared" si="77"/>
        <v>801 MONTANA AVENUE</v>
      </c>
      <c r="H265" s="1" t="str">
        <f t="shared" si="73"/>
        <v>SANTA MONICA</v>
      </c>
      <c r="I265" s="1" t="str">
        <f t="shared" si="81"/>
        <v>CA</v>
      </c>
      <c r="J265" s="1" t="str">
        <f t="shared" si="78"/>
        <v>90403</v>
      </c>
      <c r="K265" s="1">
        <v>1992</v>
      </c>
      <c r="L265" s="1">
        <v>1233</v>
      </c>
      <c r="M265" s="1">
        <v>300000</v>
      </c>
      <c r="N265" s="1">
        <v>37000</v>
      </c>
      <c r="O265" s="1">
        <f t="shared" si="82"/>
        <v>337000</v>
      </c>
      <c r="P265" s="1">
        <v>0</v>
      </c>
      <c r="Q265" s="11">
        <v>42326</v>
      </c>
    </row>
    <row r="266" spans="1:17" s="4" customFormat="1" x14ac:dyDescent="0.25">
      <c r="A266" s="16" t="str">
        <f t="shared" si="79"/>
        <v>042</v>
      </c>
      <c r="B266" s="17" t="str">
        <f t="shared" si="80"/>
        <v>SANTA MONICA-MALIBU UNIFIED SCHOOL DISTRICT</v>
      </c>
      <c r="C266" s="17" t="str">
        <f t="shared" si="75"/>
        <v>008</v>
      </c>
      <c r="D266" s="17" t="str">
        <f t="shared" si="76"/>
        <v>ROOSEVELT ELEMENTARY SCHOOL</v>
      </c>
      <c r="E266" s="17" t="str">
        <f>"004"</f>
        <v>004</v>
      </c>
      <c r="F266" s="17" t="str">
        <f>"CLASSROOM BUILDING RMS 5-6"</f>
        <v>CLASSROOM BUILDING RMS 5-6</v>
      </c>
      <c r="G266" s="17" t="str">
        <f t="shared" si="77"/>
        <v>801 MONTANA AVENUE</v>
      </c>
      <c r="H266" s="17" t="str">
        <f t="shared" si="73"/>
        <v>SANTA MONICA</v>
      </c>
      <c r="I266" s="17" t="str">
        <f t="shared" si="81"/>
        <v>CA</v>
      </c>
      <c r="J266" s="17" t="str">
        <f t="shared" si="78"/>
        <v>90403</v>
      </c>
      <c r="K266" s="17">
        <v>1940</v>
      </c>
      <c r="L266" s="17">
        <v>1233</v>
      </c>
      <c r="M266" s="17">
        <v>407000</v>
      </c>
      <c r="N266" s="17">
        <v>37000</v>
      </c>
      <c r="O266" s="17">
        <f t="shared" si="82"/>
        <v>444000</v>
      </c>
      <c r="P266" s="17">
        <v>0</v>
      </c>
      <c r="Q266" s="18">
        <v>42326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Jatin Thakrar</dc:creator>
  <cp:lastModifiedBy>Carey Upton</cp:lastModifiedBy>
  <dcterms:created xsi:type="dcterms:W3CDTF">2019-06-20T14:56:17Z</dcterms:created>
  <dcterms:modified xsi:type="dcterms:W3CDTF">2020-03-13T19:13:53Z</dcterms:modified>
</cp:coreProperties>
</file>